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wmf" ContentType="image/x-wmf"/>
  <Override PartName="/xl/drawings/drawing4.xml" ContentType="application/vnd.openxmlformats-officedocument.drawin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10" windowWidth="15120" windowHeight="8010" tabRatio="892" firstSheet="1" activeTab="1"/>
  </bookViews>
  <sheets>
    <sheet name="Ср.мес.Т" sheetId="6" state="hidden" r:id="rId1"/>
    <sheet name="Главная" sheetId="13" r:id="rId2"/>
    <sheet name="Район фунд." sheetId="7" r:id="rId3"/>
    <sheet name="Лист2 (2)" sheetId="8" state="hidden" r:id="rId4"/>
    <sheet name="Смета фунд." sheetId="1" r:id="rId5"/>
    <sheet name="Купол" sheetId="2" r:id="rId6"/>
    <sheet name="козырёк" sheetId="3" r:id="rId7"/>
    <sheet name="Перекрытия 1" sheetId="4" r:id="rId8"/>
    <sheet name="Перекрытие2" sheetId="9" r:id="rId9"/>
    <sheet name="Стены 1" sheetId="10" r:id="rId10"/>
    <sheet name="Стены2" sheetId="11" r:id="rId11"/>
    <sheet name="Башня" sheetId="12" r:id="rId12"/>
    <sheet name="Окна" sheetId="18" r:id="rId13"/>
    <sheet name="Доставка" sheetId="16" r:id="rId14"/>
    <sheet name="из города" sheetId="17" state="hidden" r:id="rId15"/>
  </sheets>
  <externalReferences>
    <externalReference r:id="rId16"/>
  </externalReferences>
  <definedNames>
    <definedName name="_xlnm._FilterDatabase" localSheetId="0" hidden="1">Ср.мес.Т!$A$4:$BP$4</definedName>
    <definedName name="города">'из города'!$A$10:$A$132</definedName>
    <definedName name="города2">'из города'!$A$10:$A$478</definedName>
    <definedName name="грн">Доставка!$Y$37:$Y$43</definedName>
    <definedName name="кг" localSheetId="13">Доставка!$N$37:$N$43</definedName>
    <definedName name="кг" localSheetId="14">Доставка!$N$37:$N$43</definedName>
    <definedName name="кг">#REF!</definedName>
    <definedName name="количество" localSheetId="13">Доставка!$M$37:$M$43</definedName>
    <definedName name="количество" localSheetId="14">Доставка!$M$37:$M$43</definedName>
    <definedName name="количество">#REF!</definedName>
    <definedName name="комплект">'из города'!$AG$111:$AI$123</definedName>
    <definedName name="комплект2" localSheetId="13">Доставка!$L$37:$N$43</definedName>
    <definedName name="комплект2" localSheetId="14">Доставка!$L$37:$N$43</definedName>
    <definedName name="комплект2">#REF!</definedName>
    <definedName name="комплекты" localSheetId="13">Доставка!$L$37:$L$43</definedName>
    <definedName name="комплекты" localSheetId="14">Доставка!$L$37:$L$43</definedName>
    <definedName name="комплекты">#REF!</definedName>
    <definedName name="наличиемалогокупола">'Смета фунд.'!$T$2:$T$3</definedName>
    <definedName name="_xlnm.Print_Area" localSheetId="2">'Район фунд.'!$A$3:$AO$95</definedName>
    <definedName name="руб">Доставка!$X$37:$X$43</definedName>
    <definedName name="стены">[1]Купол!$R$4:$R$7</definedName>
    <definedName name="стоимость">'из города'!$N$10:$N$132</definedName>
    <definedName name="стоимость_2">'из города'!$N$10:$N$478</definedName>
    <definedName name="стоимость_два">'из города'!$M$10:$M$132</definedName>
    <definedName name="стоимость_два2">'из города'!$M$10:$M$478</definedName>
    <definedName name="стоимость_пять">'из города'!$O$110:$O$132</definedName>
    <definedName name="стоимость_три">'из города'!$L$10:$L$132</definedName>
    <definedName name="стоимость_четыре">'из города'!$K$10:$K$132</definedName>
    <definedName name="стоимость_шесть">'из города'!$O$10:$O$132</definedName>
    <definedName name="стоимость_шесть2">'из города'!$O$10:$O$478</definedName>
    <definedName name="стоимость2">'из города'!$N$10:$N$132</definedName>
    <definedName name="хрень">'из города'!$AG$111:$AI$123</definedName>
    <definedName name="ящики">Доставка!$V$37:$V$43</definedName>
  </definedNames>
  <calcPr calcId="124519"/>
</workbook>
</file>

<file path=xl/calcChain.xml><?xml version="1.0" encoding="utf-8"?>
<calcChain xmlns="http://schemas.openxmlformats.org/spreadsheetml/2006/main">
  <c r="N25" i="18"/>
  <c r="M25"/>
  <c r="L25"/>
  <c r="N24"/>
  <c r="M24"/>
  <c r="L24"/>
  <c r="N23"/>
  <c r="M23"/>
  <c r="L23"/>
  <c r="L21"/>
  <c r="L22"/>
  <c r="M60"/>
  <c r="M73" i="12"/>
  <c r="O63" i="11"/>
  <c r="O70" i="10"/>
  <c r="M126" i="9"/>
  <c r="M107" i="4"/>
  <c r="N158" i="1"/>
  <c r="M103" i="3"/>
  <c r="O260" i="2"/>
  <c r="K48" i="13"/>
  <c r="P13" i="2"/>
  <c r="O13"/>
  <c r="N13"/>
  <c r="P10"/>
  <c r="O10"/>
  <c r="N10"/>
  <c r="P43"/>
  <c r="O43"/>
  <c r="N43"/>
  <c r="P40"/>
  <c r="O40"/>
  <c r="N40"/>
  <c r="P169"/>
  <c r="O169"/>
  <c r="N169"/>
  <c r="P118"/>
  <c r="O118"/>
  <c r="N118"/>
  <c r="P97"/>
  <c r="O97"/>
  <c r="N97"/>
  <c r="P19"/>
  <c r="O19"/>
  <c r="N19"/>
  <c r="P100"/>
  <c r="O100"/>
  <c r="N100"/>
  <c r="P133"/>
  <c r="O133"/>
  <c r="N133"/>
  <c r="P130"/>
  <c r="O130"/>
  <c r="N130"/>
  <c r="P151"/>
  <c r="O151"/>
  <c r="N151"/>
  <c r="P148"/>
  <c r="O148"/>
  <c r="N148"/>
  <c r="P157"/>
  <c r="O157"/>
  <c r="N157"/>
  <c r="P208"/>
  <c r="O208"/>
  <c r="N208"/>
  <c r="P166"/>
  <c r="O166"/>
  <c r="N166"/>
  <c r="P163"/>
  <c r="O163"/>
  <c r="N163"/>
  <c r="O160"/>
  <c r="P160"/>
  <c r="N160"/>
  <c r="P154"/>
  <c r="O154"/>
  <c r="N154"/>
  <c r="P127"/>
  <c r="O127"/>
  <c r="N127"/>
  <c r="P187"/>
  <c r="O187"/>
  <c r="N187"/>
  <c r="P184"/>
  <c r="O184"/>
  <c r="N184"/>
  <c r="P181"/>
  <c r="O181"/>
  <c r="N181"/>
  <c r="P178"/>
  <c r="O178"/>
  <c r="N178"/>
  <c r="P175"/>
  <c r="O175"/>
  <c r="N175"/>
  <c r="P205"/>
  <c r="O205"/>
  <c r="N205"/>
  <c r="P202"/>
  <c r="O202"/>
  <c r="N202"/>
  <c r="P199"/>
  <c r="O199"/>
  <c r="N199"/>
  <c r="P196"/>
  <c r="O196"/>
  <c r="N196"/>
  <c r="P193"/>
  <c r="O193"/>
  <c r="N193"/>
  <c r="P190"/>
  <c r="O190"/>
  <c r="N190"/>
  <c r="P139"/>
  <c r="O139"/>
  <c r="N139"/>
  <c r="P124"/>
  <c r="O124"/>
  <c r="N124"/>
  <c r="P115"/>
  <c r="O115"/>
  <c r="N115"/>
  <c r="K103"/>
  <c r="P106"/>
  <c r="O106"/>
  <c r="N106"/>
  <c r="K30" i="13"/>
  <c r="P91" i="2"/>
  <c r="O91"/>
  <c r="N91"/>
  <c r="P82"/>
  <c r="O82"/>
  <c r="N82"/>
  <c r="P79"/>
  <c r="O79"/>
  <c r="N79"/>
  <c r="K33" i="13"/>
  <c r="P61" i="2"/>
  <c r="O61"/>
  <c r="N61"/>
  <c r="P55"/>
  <c r="O55"/>
  <c r="N55"/>
  <c r="P49"/>
  <c r="O49"/>
  <c r="N49"/>
  <c r="P37"/>
  <c r="O37"/>
  <c r="N37"/>
  <c r="P34"/>
  <c r="O34"/>
  <c r="N34"/>
  <c r="C96" i="1"/>
  <c r="C92"/>
  <c r="C90"/>
  <c r="C88"/>
  <c r="K145" i="2"/>
  <c r="O109" i="4"/>
  <c r="K51" i="13"/>
  <c r="K27"/>
  <c r="P8" i="4"/>
  <c r="P9"/>
  <c r="P11"/>
  <c r="P12"/>
  <c r="P14"/>
  <c r="P15"/>
  <c r="P17"/>
  <c r="P18"/>
  <c r="P20"/>
  <c r="P21"/>
  <c r="P23"/>
  <c r="P24"/>
  <c r="P26"/>
  <c r="P27"/>
  <c r="P29"/>
  <c r="P30"/>
  <c r="P32"/>
  <c r="P33"/>
  <c r="P35"/>
  <c r="P36"/>
  <c r="P38"/>
  <c r="P39"/>
  <c r="P41"/>
  <c r="P42"/>
  <c r="P44"/>
  <c r="P45"/>
  <c r="P47"/>
  <c r="P48"/>
  <c r="P50"/>
  <c r="P51"/>
  <c r="P53"/>
  <c r="P55"/>
  <c r="P57"/>
  <c r="P59"/>
  <c r="P61"/>
  <c r="P63"/>
  <c r="P65"/>
  <c r="P67"/>
  <c r="P69"/>
  <c r="P71"/>
  <c r="P73"/>
  <c r="P75"/>
  <c r="P77"/>
  <c r="O8"/>
  <c r="O9"/>
  <c r="O10"/>
  <c r="O11"/>
  <c r="O12"/>
  <c r="O13"/>
  <c r="K18" i="13" s="1"/>
  <c r="O14" i="4"/>
  <c r="O15"/>
  <c r="O16"/>
  <c r="O17"/>
  <c r="O18"/>
  <c r="O19"/>
  <c r="K39" i="13" s="1"/>
  <c r="O20" i="4"/>
  <c r="O21"/>
  <c r="O22"/>
  <c r="K42" i="13" s="1"/>
  <c r="O23" i="4"/>
  <c r="O24"/>
  <c r="O25"/>
  <c r="O26"/>
  <c r="O27"/>
  <c r="O28"/>
  <c r="O29"/>
  <c r="O30"/>
  <c r="O31"/>
  <c r="K24" i="13" s="1"/>
  <c r="O32" i="4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"/>
  <c r="K15" i="13" s="1"/>
  <c r="U8" i="1"/>
  <c r="U9"/>
  <c r="U11"/>
  <c r="U12"/>
  <c r="U14"/>
  <c r="U15"/>
  <c r="U17"/>
  <c r="U18"/>
  <c r="U20"/>
  <c r="U21"/>
  <c r="U23"/>
  <c r="U24"/>
  <c r="U26"/>
  <c r="U27"/>
  <c r="U29"/>
  <c r="U30"/>
  <c r="U32"/>
  <c r="U33"/>
  <c r="U35"/>
  <c r="U36"/>
  <c r="U38"/>
  <c r="U39"/>
  <c r="U41"/>
  <c r="U42"/>
  <c r="U44"/>
  <c r="U45"/>
  <c r="U47"/>
  <c r="U48"/>
  <c r="U50"/>
  <c r="U51"/>
  <c r="U53"/>
  <c r="U54"/>
  <c r="U56"/>
  <c r="U57"/>
  <c r="U59"/>
  <c r="U60"/>
  <c r="U62"/>
  <c r="U63"/>
  <c r="U65"/>
  <c r="U66"/>
  <c r="U68"/>
  <c r="U69"/>
  <c r="U71"/>
  <c r="U72"/>
  <c r="U74"/>
  <c r="U75"/>
  <c r="U77"/>
  <c r="U78"/>
  <c r="U80"/>
  <c r="U81"/>
  <c r="U83"/>
  <c r="U84"/>
  <c r="U86"/>
  <c r="U87"/>
  <c r="U89"/>
  <c r="U91"/>
  <c r="U93"/>
  <c r="U95"/>
  <c r="U97"/>
  <c r="U99"/>
  <c r="U101"/>
  <c r="U103"/>
  <c r="U105"/>
  <c r="U107"/>
  <c r="U109"/>
  <c r="U111"/>
  <c r="U113"/>
  <c r="U115"/>
  <c r="U117"/>
  <c r="U119"/>
  <c r="U121"/>
  <c r="U123"/>
  <c r="U125"/>
  <c r="U127"/>
  <c r="U129"/>
  <c r="U131"/>
  <c r="U133"/>
  <c r="U135"/>
  <c r="U137"/>
  <c r="U139"/>
  <c r="U141"/>
  <c r="T8"/>
  <c r="T9"/>
  <c r="T11"/>
  <c r="T12"/>
  <c r="T14"/>
  <c r="T15"/>
  <c r="T17"/>
  <c r="T18"/>
  <c r="T20"/>
  <c r="T21"/>
  <c r="T23"/>
  <c r="T24"/>
  <c r="T25"/>
  <c r="T26"/>
  <c r="T27"/>
  <c r="T29"/>
  <c r="T30"/>
  <c r="T32"/>
  <c r="T33"/>
  <c r="T35"/>
  <c r="T36"/>
  <c r="T38"/>
  <c r="T39"/>
  <c r="T41"/>
  <c r="T42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Q72" i="10"/>
  <c r="Q61" i="13"/>
  <c r="O22" i="18"/>
  <c r="O21"/>
  <c r="O20"/>
  <c r="O19"/>
  <c r="M18"/>
  <c r="M15"/>
  <c r="O17"/>
  <c r="O16"/>
  <c r="M9"/>
  <c r="M12"/>
  <c r="M7"/>
  <c r="W4" i="16"/>
  <c r="M17"/>
  <c r="P19"/>
  <c r="O37"/>
  <c r="P37"/>
  <c r="R37"/>
  <c r="Y37" s="1"/>
  <c r="S37"/>
  <c r="U37" s="1"/>
  <c r="V37" s="1"/>
  <c r="N37" s="1"/>
  <c r="T37"/>
  <c r="X37"/>
  <c r="O38"/>
  <c r="Q38" s="1"/>
  <c r="P38"/>
  <c r="R38"/>
  <c r="S38"/>
  <c r="U38" s="1"/>
  <c r="V38" s="1"/>
  <c r="N38" s="1"/>
  <c r="T38"/>
  <c r="X38"/>
  <c r="Y38"/>
  <c r="O39"/>
  <c r="P39"/>
  <c r="Q39"/>
  <c r="R39"/>
  <c r="S39" s="1"/>
  <c r="U39" s="1"/>
  <c r="V39" s="1"/>
  <c r="T39"/>
  <c r="Y39"/>
  <c r="Y44" s="1"/>
  <c r="O40"/>
  <c r="P40"/>
  <c r="Q40"/>
  <c r="R40"/>
  <c r="Y40" s="1"/>
  <c r="T40"/>
  <c r="O41"/>
  <c r="Q41" s="1"/>
  <c r="P41"/>
  <c r="R41"/>
  <c r="Y41" s="1"/>
  <c r="S41"/>
  <c r="U41" s="1"/>
  <c r="V41" s="1"/>
  <c r="N41" s="1"/>
  <c r="T41"/>
  <c r="X41"/>
  <c r="O42"/>
  <c r="Q42" s="1"/>
  <c r="P42"/>
  <c r="R42"/>
  <c r="S42"/>
  <c r="U42" s="1"/>
  <c r="V42" s="1"/>
  <c r="N42" s="1"/>
  <c r="T42"/>
  <c r="X42"/>
  <c r="Y42"/>
  <c r="O43"/>
  <c r="P43"/>
  <c r="Q43"/>
  <c r="R43"/>
  <c r="S43" s="1"/>
  <c r="U43" s="1"/>
  <c r="V43" s="1"/>
  <c r="N43" s="1"/>
  <c r="T43"/>
  <c r="Y43"/>
  <c r="L5" i="18"/>
  <c r="M5"/>
  <c r="N5"/>
  <c r="L6"/>
  <c r="M6"/>
  <c r="N6"/>
  <c r="L7"/>
  <c r="N7"/>
  <c r="L8"/>
  <c r="M8"/>
  <c r="N8"/>
  <c r="L9"/>
  <c r="N9"/>
  <c r="L10"/>
  <c r="M10"/>
  <c r="N10"/>
  <c r="L11"/>
  <c r="M11"/>
  <c r="N11"/>
  <c r="L12"/>
  <c r="N12"/>
  <c r="L13"/>
  <c r="N13"/>
  <c r="L14"/>
  <c r="N14"/>
  <c r="L15"/>
  <c r="N15"/>
  <c r="L16"/>
  <c r="M16"/>
  <c r="N16"/>
  <c r="L17"/>
  <c r="M17"/>
  <c r="N17"/>
  <c r="L18"/>
  <c r="N18"/>
  <c r="L19"/>
  <c r="N19"/>
  <c r="L20"/>
  <c r="M20"/>
  <c r="N20"/>
  <c r="M21"/>
  <c r="N21"/>
  <c r="M22"/>
  <c r="N22"/>
  <c r="L26"/>
  <c r="M26"/>
  <c r="N26"/>
  <c r="L27"/>
  <c r="M27"/>
  <c r="N27"/>
  <c r="L28"/>
  <c r="M28"/>
  <c r="N28"/>
  <c r="L29"/>
  <c r="M29"/>
  <c r="N29"/>
  <c r="L30"/>
  <c r="M30"/>
  <c r="N30"/>
  <c r="L31"/>
  <c r="M31"/>
  <c r="N31"/>
  <c r="L32"/>
  <c r="M32"/>
  <c r="N32"/>
  <c r="L33"/>
  <c r="M33"/>
  <c r="N33"/>
  <c r="L34"/>
  <c r="M34"/>
  <c r="N34"/>
  <c r="L35"/>
  <c r="M35"/>
  <c r="N35"/>
  <c r="L36"/>
  <c r="M36"/>
  <c r="N36"/>
  <c r="L37"/>
  <c r="M37"/>
  <c r="N37"/>
  <c r="L38"/>
  <c r="M38"/>
  <c r="N38"/>
  <c r="L39"/>
  <c r="M39"/>
  <c r="N39"/>
  <c r="L40"/>
  <c r="N40"/>
  <c r="P40"/>
  <c r="L48"/>
  <c r="M48"/>
  <c r="N48"/>
  <c r="L51"/>
  <c r="N51"/>
  <c r="N54"/>
  <c r="N57"/>
  <c r="N60"/>
  <c r="L5" i="12"/>
  <c r="M5"/>
  <c r="N5"/>
  <c r="L6"/>
  <c r="M6"/>
  <c r="N6"/>
  <c r="L7"/>
  <c r="M7"/>
  <c r="N7"/>
  <c r="L8"/>
  <c r="M8"/>
  <c r="N8"/>
  <c r="L9"/>
  <c r="M9"/>
  <c r="N9"/>
  <c r="L10"/>
  <c r="M10"/>
  <c r="N10"/>
  <c r="L11"/>
  <c r="M11"/>
  <c r="N11"/>
  <c r="L12"/>
  <c r="M12"/>
  <c r="N12"/>
  <c r="L13"/>
  <c r="M13"/>
  <c r="N13"/>
  <c r="L14"/>
  <c r="M14"/>
  <c r="N14"/>
  <c r="L15"/>
  <c r="M15"/>
  <c r="M41"/>
  <c r="N15"/>
  <c r="L16"/>
  <c r="M16"/>
  <c r="N16"/>
  <c r="L17"/>
  <c r="M17"/>
  <c r="N17"/>
  <c r="L18"/>
  <c r="M18"/>
  <c r="N18"/>
  <c r="L19"/>
  <c r="M19"/>
  <c r="N19"/>
  <c r="L20"/>
  <c r="M20"/>
  <c r="N20"/>
  <c r="L21"/>
  <c r="M21"/>
  <c r="N21"/>
  <c r="L22"/>
  <c r="M22"/>
  <c r="N22"/>
  <c r="L23"/>
  <c r="M23"/>
  <c r="N23"/>
  <c r="L24"/>
  <c r="M24"/>
  <c r="N24"/>
  <c r="L25"/>
  <c r="M25"/>
  <c r="N25"/>
  <c r="L26"/>
  <c r="M26"/>
  <c r="N26"/>
  <c r="L27"/>
  <c r="M27"/>
  <c r="N27"/>
  <c r="L28"/>
  <c r="M28"/>
  <c r="N28"/>
  <c r="L29"/>
  <c r="M29"/>
  <c r="N29"/>
  <c r="L30"/>
  <c r="M30"/>
  <c r="N30"/>
  <c r="L31"/>
  <c r="M31"/>
  <c r="N31"/>
  <c r="L32"/>
  <c r="M32"/>
  <c r="N32"/>
  <c r="L33"/>
  <c r="M33"/>
  <c r="N33"/>
  <c r="L34"/>
  <c r="M34"/>
  <c r="N34"/>
  <c r="L35"/>
  <c r="M35"/>
  <c r="N35"/>
  <c r="L36"/>
  <c r="M36"/>
  <c r="N36"/>
  <c r="L37"/>
  <c r="M37"/>
  <c r="N37"/>
  <c r="L38"/>
  <c r="M38"/>
  <c r="N38"/>
  <c r="L39"/>
  <c r="M39"/>
  <c r="N39"/>
  <c r="L40"/>
  <c r="M40"/>
  <c r="N40"/>
  <c r="L41"/>
  <c r="K73" s="1"/>
  <c r="N41"/>
  <c r="L49"/>
  <c r="M49"/>
  <c r="N49"/>
  <c r="L52"/>
  <c r="M52"/>
  <c r="N52"/>
  <c r="L55"/>
  <c r="M55"/>
  <c r="N55"/>
  <c r="L58"/>
  <c r="M58"/>
  <c r="N58"/>
  <c r="L61"/>
  <c r="M61"/>
  <c r="N61"/>
  <c r="L64"/>
  <c r="M64"/>
  <c r="N64"/>
  <c r="L67"/>
  <c r="M67"/>
  <c r="N67"/>
  <c r="L70"/>
  <c r="M70"/>
  <c r="N70"/>
  <c r="N73"/>
  <c r="N5" i="11"/>
  <c r="O5"/>
  <c r="P5"/>
  <c r="N6"/>
  <c r="O6"/>
  <c r="P6"/>
  <c r="N7"/>
  <c r="O7"/>
  <c r="P7"/>
  <c r="N8"/>
  <c r="O8"/>
  <c r="P8"/>
  <c r="N9"/>
  <c r="O9"/>
  <c r="P9"/>
  <c r="N10"/>
  <c r="O10"/>
  <c r="P10"/>
  <c r="O11"/>
  <c r="N11"/>
  <c r="O31"/>
  <c r="P11"/>
  <c r="N12"/>
  <c r="O12"/>
  <c r="P12"/>
  <c r="N13"/>
  <c r="O13"/>
  <c r="P13"/>
  <c r="K14"/>
  <c r="O14" s="1"/>
  <c r="N14"/>
  <c r="P14"/>
  <c r="N15"/>
  <c r="O15"/>
  <c r="P15"/>
  <c r="N16"/>
  <c r="O16"/>
  <c r="P16"/>
  <c r="N17"/>
  <c r="O17"/>
  <c r="P17"/>
  <c r="N18"/>
  <c r="O18"/>
  <c r="P18"/>
  <c r="N19"/>
  <c r="O19"/>
  <c r="P19"/>
  <c r="N20"/>
  <c r="O20"/>
  <c r="P20"/>
  <c r="N21"/>
  <c r="O21"/>
  <c r="P21"/>
  <c r="N22"/>
  <c r="O22"/>
  <c r="P22"/>
  <c r="N23"/>
  <c r="O23"/>
  <c r="P23"/>
  <c r="N24"/>
  <c r="O24"/>
  <c r="P24"/>
  <c r="N25"/>
  <c r="O25"/>
  <c r="P25"/>
  <c r="N26"/>
  <c r="O26"/>
  <c r="P26"/>
  <c r="N27"/>
  <c r="O27"/>
  <c r="P27"/>
  <c r="N28"/>
  <c r="O28"/>
  <c r="P28"/>
  <c r="N29"/>
  <c r="O29"/>
  <c r="P29"/>
  <c r="N30"/>
  <c r="O30"/>
  <c r="P30"/>
  <c r="P31"/>
  <c r="R31"/>
  <c r="N39"/>
  <c r="O39"/>
  <c r="P39"/>
  <c r="N42"/>
  <c r="O42"/>
  <c r="P42"/>
  <c r="N45"/>
  <c r="O45"/>
  <c r="P45"/>
  <c r="N48"/>
  <c r="O48"/>
  <c r="P48"/>
  <c r="N51"/>
  <c r="O51"/>
  <c r="P51"/>
  <c r="N54"/>
  <c r="O54"/>
  <c r="P54"/>
  <c r="N57"/>
  <c r="O57"/>
  <c r="P57"/>
  <c r="N60"/>
  <c r="O60"/>
  <c r="P60"/>
  <c r="P63"/>
  <c r="N7" i="10"/>
  <c r="O7"/>
  <c r="U9" s="1"/>
  <c r="P7"/>
  <c r="W7"/>
  <c r="N8"/>
  <c r="O8"/>
  <c r="U10" s="1"/>
  <c r="P8"/>
  <c r="W8"/>
  <c r="N9"/>
  <c r="O9"/>
  <c r="P9"/>
  <c r="T9"/>
  <c r="W9"/>
  <c r="N10"/>
  <c r="O10"/>
  <c r="X8" s="1"/>
  <c r="P10"/>
  <c r="T10"/>
  <c r="W10"/>
  <c r="N11"/>
  <c r="O11"/>
  <c r="P11"/>
  <c r="N12"/>
  <c r="O12"/>
  <c r="X9" s="1"/>
  <c r="P51" i="13" s="1"/>
  <c r="N51" s="1"/>
  <c r="P12" i="10"/>
  <c r="N13"/>
  <c r="O13"/>
  <c r="X10" s="1"/>
  <c r="P13"/>
  <c r="N14"/>
  <c r="O14"/>
  <c r="P14"/>
  <c r="N15"/>
  <c r="O15"/>
  <c r="P15"/>
  <c r="N16"/>
  <c r="O16"/>
  <c r="P16"/>
  <c r="N17"/>
  <c r="O17"/>
  <c r="P17"/>
  <c r="N18"/>
  <c r="O18"/>
  <c r="P18"/>
  <c r="N19"/>
  <c r="O19"/>
  <c r="P19"/>
  <c r="N20"/>
  <c r="O20"/>
  <c r="P20"/>
  <c r="N21"/>
  <c r="O21"/>
  <c r="P21"/>
  <c r="N22"/>
  <c r="O22"/>
  <c r="P22"/>
  <c r="N23"/>
  <c r="O23"/>
  <c r="P23"/>
  <c r="N24"/>
  <c r="O24"/>
  <c r="P24"/>
  <c r="N25"/>
  <c r="O25"/>
  <c r="P25"/>
  <c r="N26"/>
  <c r="O26"/>
  <c r="P26"/>
  <c r="N27"/>
  <c r="O27"/>
  <c r="P27"/>
  <c r="N28"/>
  <c r="O28"/>
  <c r="P28"/>
  <c r="N29"/>
  <c r="O29"/>
  <c r="P29"/>
  <c r="N30"/>
  <c r="O30"/>
  <c r="P30"/>
  <c r="N31"/>
  <c r="O31"/>
  <c r="P31"/>
  <c r="N32"/>
  <c r="O32"/>
  <c r="P32"/>
  <c r="N33"/>
  <c r="O33"/>
  <c r="P33"/>
  <c r="N34"/>
  <c r="O34"/>
  <c r="P34"/>
  <c r="O35"/>
  <c r="P35"/>
  <c r="R35"/>
  <c r="N46"/>
  <c r="O46"/>
  <c r="P46"/>
  <c r="N49"/>
  <c r="O49"/>
  <c r="P49"/>
  <c r="N52"/>
  <c r="O52"/>
  <c r="P52"/>
  <c r="N55"/>
  <c r="O55"/>
  <c r="P55"/>
  <c r="N58"/>
  <c r="O58"/>
  <c r="P58"/>
  <c r="N61"/>
  <c r="O61"/>
  <c r="P61"/>
  <c r="N64"/>
  <c r="O64"/>
  <c r="P64"/>
  <c r="N67"/>
  <c r="O67"/>
  <c r="P67"/>
  <c r="P70"/>
  <c r="L7" i="9"/>
  <c r="M7"/>
  <c r="N7"/>
  <c r="L10"/>
  <c r="M10"/>
  <c r="N10"/>
  <c r="L13"/>
  <c r="M13"/>
  <c r="N13"/>
  <c r="L16"/>
  <c r="M16"/>
  <c r="N16"/>
  <c r="L19"/>
  <c r="M19"/>
  <c r="N19"/>
  <c r="L22"/>
  <c r="M22"/>
  <c r="N22"/>
  <c r="L25"/>
  <c r="M25"/>
  <c r="N25"/>
  <c r="L28"/>
  <c r="M28"/>
  <c r="N28"/>
  <c r="L31"/>
  <c r="M31"/>
  <c r="N31"/>
  <c r="L34"/>
  <c r="M34"/>
  <c r="N34"/>
  <c r="L37"/>
  <c r="M37"/>
  <c r="N37"/>
  <c r="L40"/>
  <c r="M40"/>
  <c r="N40"/>
  <c r="L43"/>
  <c r="M43"/>
  <c r="N43"/>
  <c r="L46"/>
  <c r="M46"/>
  <c r="N46"/>
  <c r="L49"/>
  <c r="M49"/>
  <c r="N49"/>
  <c r="L52"/>
  <c r="M52"/>
  <c r="N52"/>
  <c r="L55"/>
  <c r="M55"/>
  <c r="N55"/>
  <c r="L58"/>
  <c r="M58"/>
  <c r="N58"/>
  <c r="L61"/>
  <c r="M61"/>
  <c r="N61"/>
  <c r="L64"/>
  <c r="M64"/>
  <c r="N64"/>
  <c r="L66"/>
  <c r="M66"/>
  <c r="N66"/>
  <c r="L68"/>
  <c r="M68"/>
  <c r="N68"/>
  <c r="L70"/>
  <c r="M70"/>
  <c r="N70"/>
  <c r="L72"/>
  <c r="M72"/>
  <c r="N72"/>
  <c r="L74"/>
  <c r="M74"/>
  <c r="N74"/>
  <c r="L76"/>
  <c r="M76"/>
  <c r="N76"/>
  <c r="L78"/>
  <c r="M78"/>
  <c r="N78"/>
  <c r="L80"/>
  <c r="M80"/>
  <c r="N80"/>
  <c r="L82"/>
  <c r="M82"/>
  <c r="N82"/>
  <c r="L84"/>
  <c r="M84"/>
  <c r="N84"/>
  <c r="L86"/>
  <c r="M86"/>
  <c r="N86"/>
  <c r="L88"/>
  <c r="M88"/>
  <c r="N88"/>
  <c r="M90"/>
  <c r="N90"/>
  <c r="L102"/>
  <c r="M102"/>
  <c r="N102"/>
  <c r="L105"/>
  <c r="M105"/>
  <c r="N105"/>
  <c r="L108"/>
  <c r="M108"/>
  <c r="N108"/>
  <c r="L111"/>
  <c r="M111"/>
  <c r="N111"/>
  <c r="L114"/>
  <c r="M114"/>
  <c r="N114"/>
  <c r="L117"/>
  <c r="M117"/>
  <c r="N117"/>
  <c r="L120"/>
  <c r="M120"/>
  <c r="N120"/>
  <c r="L123"/>
  <c r="M123"/>
  <c r="N123"/>
  <c r="N126"/>
  <c r="AU4" i="4"/>
  <c r="AV4"/>
  <c r="AU5"/>
  <c r="AV5"/>
  <c r="AR6"/>
  <c r="AS6"/>
  <c r="AU6"/>
  <c r="AV6"/>
  <c r="L7"/>
  <c r="M7"/>
  <c r="P7" s="1"/>
  <c r="N7"/>
  <c r="AR7"/>
  <c r="AS7"/>
  <c r="AU7"/>
  <c r="AV7"/>
  <c r="AR8"/>
  <c r="AS8"/>
  <c r="L10"/>
  <c r="M10"/>
  <c r="P10" s="1"/>
  <c r="M78"/>
  <c r="O81" s="1"/>
  <c r="N10"/>
  <c r="L13"/>
  <c r="M13"/>
  <c r="P13" s="1"/>
  <c r="P18" i="13" s="1"/>
  <c r="N18" s="1"/>
  <c r="N13" i="4"/>
  <c r="L16"/>
  <c r="M16"/>
  <c r="P16" s="1"/>
  <c r="N16"/>
  <c r="L19"/>
  <c r="M19"/>
  <c r="P19" s="1"/>
  <c r="N19"/>
  <c r="L22"/>
  <c r="M22"/>
  <c r="P22" s="1"/>
  <c r="N22"/>
  <c r="L25"/>
  <c r="M25"/>
  <c r="P25" s="1"/>
  <c r="N25"/>
  <c r="L28"/>
  <c r="M28"/>
  <c r="P28" s="1"/>
  <c r="N28"/>
  <c r="L31"/>
  <c r="M31"/>
  <c r="P31" s="1"/>
  <c r="N31"/>
  <c r="L34"/>
  <c r="M34"/>
  <c r="P34" s="1"/>
  <c r="N34"/>
  <c r="L37"/>
  <c r="M37"/>
  <c r="P37" s="1"/>
  <c r="N37"/>
  <c r="L40"/>
  <c r="M40"/>
  <c r="P40" s="1"/>
  <c r="N40"/>
  <c r="L43"/>
  <c r="M43"/>
  <c r="P43" s="1"/>
  <c r="N43"/>
  <c r="L46"/>
  <c r="M46"/>
  <c r="P46" s="1"/>
  <c r="N46"/>
  <c r="L49"/>
  <c r="M49"/>
  <c r="P49" s="1"/>
  <c r="N49"/>
  <c r="L52"/>
  <c r="M52"/>
  <c r="P52" s="1"/>
  <c r="N52"/>
  <c r="L54"/>
  <c r="M54"/>
  <c r="P54" s="1"/>
  <c r="N54"/>
  <c r="L56"/>
  <c r="M56"/>
  <c r="P56" s="1"/>
  <c r="N56"/>
  <c r="L58"/>
  <c r="M58"/>
  <c r="P58" s="1"/>
  <c r="N58"/>
  <c r="L60"/>
  <c r="M60"/>
  <c r="P60" s="1"/>
  <c r="N60"/>
  <c r="L62"/>
  <c r="M62"/>
  <c r="P62" s="1"/>
  <c r="N62"/>
  <c r="L64"/>
  <c r="M64"/>
  <c r="P64" s="1"/>
  <c r="N64"/>
  <c r="L66"/>
  <c r="M66"/>
  <c r="P66" s="1"/>
  <c r="N66"/>
  <c r="L68"/>
  <c r="M68"/>
  <c r="P68" s="1"/>
  <c r="N68"/>
  <c r="L70"/>
  <c r="M70"/>
  <c r="P70" s="1"/>
  <c r="N70"/>
  <c r="L72"/>
  <c r="M72"/>
  <c r="P72" s="1"/>
  <c r="N72"/>
  <c r="L74"/>
  <c r="M74"/>
  <c r="P74" s="1"/>
  <c r="N74"/>
  <c r="L76"/>
  <c r="M76"/>
  <c r="P76" s="1"/>
  <c r="N76"/>
  <c r="N78"/>
  <c r="L89"/>
  <c r="M89"/>
  <c r="N89"/>
  <c r="L92"/>
  <c r="M92"/>
  <c r="N92"/>
  <c r="L95"/>
  <c r="M95"/>
  <c r="N95"/>
  <c r="L98"/>
  <c r="M98"/>
  <c r="N98"/>
  <c r="L101"/>
  <c r="M101"/>
  <c r="N101"/>
  <c r="L104"/>
  <c r="M104"/>
  <c r="N104"/>
  <c r="N107"/>
  <c r="L7" i="3"/>
  <c r="M7"/>
  <c r="N7"/>
  <c r="L10"/>
  <c r="M10"/>
  <c r="N10"/>
  <c r="K45" i="13"/>
  <c r="L13" i="3"/>
  <c r="M13"/>
  <c r="N13"/>
  <c r="L16"/>
  <c r="M16"/>
  <c r="N16"/>
  <c r="L19"/>
  <c r="M19"/>
  <c r="N19"/>
  <c r="L22"/>
  <c r="M22"/>
  <c r="N22"/>
  <c r="L25"/>
  <c r="M25"/>
  <c r="N25"/>
  <c r="L28"/>
  <c r="M28"/>
  <c r="N28"/>
  <c r="L31"/>
  <c r="M31"/>
  <c r="M83"/>
  <c r="N31"/>
  <c r="L34"/>
  <c r="M34"/>
  <c r="N34"/>
  <c r="L37"/>
  <c r="M37"/>
  <c r="N37"/>
  <c r="L40"/>
  <c r="M40"/>
  <c r="N40"/>
  <c r="L43"/>
  <c r="M43"/>
  <c r="N43"/>
  <c r="L46"/>
  <c r="M46"/>
  <c r="N46"/>
  <c r="L49"/>
  <c r="M49"/>
  <c r="N49"/>
  <c r="L52"/>
  <c r="M52"/>
  <c r="N52"/>
  <c r="L55"/>
  <c r="M55"/>
  <c r="N55"/>
  <c r="L58"/>
  <c r="M58"/>
  <c r="N58"/>
  <c r="L61"/>
  <c r="M61"/>
  <c r="N61"/>
  <c r="L63"/>
  <c r="M63"/>
  <c r="N63"/>
  <c r="L65"/>
  <c r="M65"/>
  <c r="N65"/>
  <c r="L67"/>
  <c r="M67"/>
  <c r="N67"/>
  <c r="L69"/>
  <c r="M69"/>
  <c r="N69"/>
  <c r="L71"/>
  <c r="M71"/>
  <c r="N71"/>
  <c r="L73"/>
  <c r="M73"/>
  <c r="N73"/>
  <c r="L75"/>
  <c r="M75"/>
  <c r="N75"/>
  <c r="L77"/>
  <c r="M77"/>
  <c r="N77"/>
  <c r="L79"/>
  <c r="M79"/>
  <c r="N79"/>
  <c r="L81"/>
  <c r="M81"/>
  <c r="N81"/>
  <c r="N83"/>
  <c r="L94"/>
  <c r="M94"/>
  <c r="N94"/>
  <c r="L97"/>
  <c r="M97"/>
  <c r="N97"/>
  <c r="L100"/>
  <c r="M100"/>
  <c r="N100"/>
  <c r="N103"/>
  <c r="N7" i="2"/>
  <c r="O7"/>
  <c r="P7"/>
  <c r="N16"/>
  <c r="O16"/>
  <c r="P16"/>
  <c r="N22"/>
  <c r="O22"/>
  <c r="P22"/>
  <c r="N25"/>
  <c r="O25"/>
  <c r="P25"/>
  <c r="N28"/>
  <c r="O28"/>
  <c r="P28"/>
  <c r="N31"/>
  <c r="O31"/>
  <c r="P31"/>
  <c r="N46"/>
  <c r="O46"/>
  <c r="P46"/>
  <c r="O52"/>
  <c r="N52"/>
  <c r="P52"/>
  <c r="N58"/>
  <c r="O58"/>
  <c r="P58"/>
  <c r="N64"/>
  <c r="O64"/>
  <c r="P64"/>
  <c r="N67"/>
  <c r="O67"/>
  <c r="P67"/>
  <c r="N70"/>
  <c r="O70"/>
  <c r="P70"/>
  <c r="N73"/>
  <c r="O73"/>
  <c r="P73"/>
  <c r="N76"/>
  <c r="O76"/>
  <c r="P76"/>
  <c r="N85"/>
  <c r="O85"/>
  <c r="P27" i="13" s="1"/>
  <c r="N27" s="1"/>
  <c r="P85" i="2"/>
  <c r="N88"/>
  <c r="O88"/>
  <c r="P30" i="13" s="1"/>
  <c r="N30" s="1"/>
  <c r="P88" i="2"/>
  <c r="N94"/>
  <c r="O94"/>
  <c r="P94"/>
  <c r="N103"/>
  <c r="O103"/>
  <c r="P103"/>
  <c r="N109"/>
  <c r="O109"/>
  <c r="P109"/>
  <c r="N112"/>
  <c r="O112"/>
  <c r="P112"/>
  <c r="N121"/>
  <c r="O121"/>
  <c r="P121"/>
  <c r="N136"/>
  <c r="O136"/>
  <c r="P136"/>
  <c r="N142"/>
  <c r="O142"/>
  <c r="P142"/>
  <c r="N145"/>
  <c r="O145"/>
  <c r="P145"/>
  <c r="N172"/>
  <c r="O172"/>
  <c r="P172"/>
  <c r="N211"/>
  <c r="O211"/>
  <c r="P211"/>
  <c r="N214"/>
  <c r="O214"/>
  <c r="P214"/>
  <c r="N217"/>
  <c r="O217"/>
  <c r="P217"/>
  <c r="P220"/>
  <c r="N230"/>
  <c r="O230"/>
  <c r="P230"/>
  <c r="N233"/>
  <c r="O233"/>
  <c r="P233"/>
  <c r="N236"/>
  <c r="O236"/>
  <c r="P236"/>
  <c r="N239"/>
  <c r="O239"/>
  <c r="P239"/>
  <c r="N242"/>
  <c r="O242"/>
  <c r="P242"/>
  <c r="N245"/>
  <c r="O245"/>
  <c r="P245"/>
  <c r="N248"/>
  <c r="O248"/>
  <c r="P248"/>
  <c r="N251"/>
  <c r="O251"/>
  <c r="P251"/>
  <c r="N254"/>
  <c r="O254"/>
  <c r="P254"/>
  <c r="N257"/>
  <c r="O257"/>
  <c r="P257"/>
  <c r="P260"/>
  <c r="C7" i="1"/>
  <c r="F7"/>
  <c r="M7"/>
  <c r="O7"/>
  <c r="C10"/>
  <c r="F10"/>
  <c r="M10"/>
  <c r="O10"/>
  <c r="C13"/>
  <c r="M13"/>
  <c r="O13"/>
  <c r="C16"/>
  <c r="M16"/>
  <c r="O16"/>
  <c r="C19"/>
  <c r="M19"/>
  <c r="O19"/>
  <c r="C22"/>
  <c r="M22"/>
  <c r="O22"/>
  <c r="O25"/>
  <c r="C28"/>
  <c r="M28"/>
  <c r="O28"/>
  <c r="C31"/>
  <c r="M31"/>
  <c r="O31"/>
  <c r="C34"/>
  <c r="M34"/>
  <c r="O34"/>
  <c r="C37"/>
  <c r="M37"/>
  <c r="O37"/>
  <c r="C40"/>
  <c r="M40"/>
  <c r="O40"/>
  <c r="C43"/>
  <c r="M43"/>
  <c r="O43"/>
  <c r="M46"/>
  <c r="N46"/>
  <c r="U46" s="1"/>
  <c r="O46"/>
  <c r="M49"/>
  <c r="N49"/>
  <c r="U49" s="1"/>
  <c r="O49"/>
  <c r="M52"/>
  <c r="N52"/>
  <c r="U52" s="1"/>
  <c r="O52"/>
  <c r="M55"/>
  <c r="N55"/>
  <c r="U55" s="1"/>
  <c r="O55"/>
  <c r="J58"/>
  <c r="M58"/>
  <c r="N58"/>
  <c r="U58" s="1"/>
  <c r="O58"/>
  <c r="J61"/>
  <c r="M61"/>
  <c r="N61"/>
  <c r="U61" s="1"/>
  <c r="O61"/>
  <c r="M64"/>
  <c r="N64"/>
  <c r="U64" s="1"/>
  <c r="O64"/>
  <c r="O67"/>
  <c r="M70"/>
  <c r="N70"/>
  <c r="U70" s="1"/>
  <c r="O70"/>
  <c r="M73"/>
  <c r="N73"/>
  <c r="U73" s="1"/>
  <c r="O73"/>
  <c r="M76"/>
  <c r="N76"/>
  <c r="U76" s="1"/>
  <c r="O76"/>
  <c r="M79"/>
  <c r="N79"/>
  <c r="U79" s="1"/>
  <c r="O79"/>
  <c r="M82"/>
  <c r="N82"/>
  <c r="U82" s="1"/>
  <c r="O82"/>
  <c r="M85"/>
  <c r="N85"/>
  <c r="U85" s="1"/>
  <c r="O85"/>
  <c r="M88"/>
  <c r="N88"/>
  <c r="U88" s="1"/>
  <c r="O88"/>
  <c r="M90"/>
  <c r="N90"/>
  <c r="U90" s="1"/>
  <c r="O90"/>
  <c r="M92"/>
  <c r="N92"/>
  <c r="U92" s="1"/>
  <c r="O92"/>
  <c r="C94"/>
  <c r="M94"/>
  <c r="N94"/>
  <c r="U94" s="1"/>
  <c r="O94"/>
  <c r="M96"/>
  <c r="N96"/>
  <c r="U96" s="1"/>
  <c r="O96"/>
  <c r="C98"/>
  <c r="M98"/>
  <c r="N98"/>
  <c r="U98" s="1"/>
  <c r="O98"/>
  <c r="C100"/>
  <c r="M100"/>
  <c r="N100"/>
  <c r="U100" s="1"/>
  <c r="O100"/>
  <c r="M102"/>
  <c r="N102"/>
  <c r="U102" s="1"/>
  <c r="O102"/>
  <c r="M104"/>
  <c r="N104"/>
  <c r="U104" s="1"/>
  <c r="O104"/>
  <c r="M106"/>
  <c r="N106"/>
  <c r="U106" s="1"/>
  <c r="O106"/>
  <c r="C108"/>
  <c r="M108"/>
  <c r="N108"/>
  <c r="U108" s="1"/>
  <c r="O108"/>
  <c r="M110"/>
  <c r="N110"/>
  <c r="U110" s="1"/>
  <c r="O110"/>
  <c r="M112"/>
  <c r="N112"/>
  <c r="U112" s="1"/>
  <c r="O112"/>
  <c r="M114"/>
  <c r="N114"/>
  <c r="U114" s="1"/>
  <c r="O114"/>
  <c r="M116"/>
  <c r="N116"/>
  <c r="U116" s="1"/>
  <c r="O116"/>
  <c r="M118"/>
  <c r="N118"/>
  <c r="U118" s="1"/>
  <c r="O118"/>
  <c r="M120"/>
  <c r="N120"/>
  <c r="U120" s="1"/>
  <c r="O120"/>
  <c r="M122"/>
  <c r="N122"/>
  <c r="U122" s="1"/>
  <c r="O122"/>
  <c r="M124"/>
  <c r="N124"/>
  <c r="U124" s="1"/>
  <c r="O124"/>
  <c r="M126"/>
  <c r="N126"/>
  <c r="U126" s="1"/>
  <c r="O126"/>
  <c r="M128"/>
  <c r="N128"/>
  <c r="U128" s="1"/>
  <c r="O128"/>
  <c r="M130"/>
  <c r="N130"/>
  <c r="U130" s="1"/>
  <c r="O130"/>
  <c r="M132"/>
  <c r="N132"/>
  <c r="U132" s="1"/>
  <c r="O132"/>
  <c r="M134"/>
  <c r="N134"/>
  <c r="U134" s="1"/>
  <c r="O134"/>
  <c r="M136"/>
  <c r="N136"/>
  <c r="U136" s="1"/>
  <c r="O136"/>
  <c r="M138"/>
  <c r="N138"/>
  <c r="U138" s="1"/>
  <c r="O138"/>
  <c r="M140"/>
  <c r="N140"/>
  <c r="U140" s="1"/>
  <c r="O140"/>
  <c r="O142"/>
  <c r="M152"/>
  <c r="O152"/>
  <c r="M155"/>
  <c r="N155"/>
  <c r="O155"/>
  <c r="O158"/>
  <c r="C9" i="8"/>
  <c r="D9"/>
  <c r="K24"/>
  <c r="K25"/>
  <c r="R27"/>
  <c r="R29"/>
  <c r="S29"/>
  <c r="T29"/>
  <c r="B30"/>
  <c r="O30"/>
  <c r="P30"/>
  <c r="B31"/>
  <c r="K31"/>
  <c r="O31"/>
  <c r="P31"/>
  <c r="R31"/>
  <c r="B32"/>
  <c r="K32"/>
  <c r="O32"/>
  <c r="P32"/>
  <c r="R32"/>
  <c r="B33"/>
  <c r="R33"/>
  <c r="B34"/>
  <c r="C36"/>
  <c r="B28" s="1"/>
  <c r="C28" s="1"/>
  <c r="K36"/>
  <c r="K37"/>
  <c r="U2" i="7"/>
  <c r="V2"/>
  <c r="A6"/>
  <c r="C6"/>
  <c r="A7"/>
  <c r="C7"/>
  <c r="F7"/>
  <c r="J7"/>
  <c r="N7"/>
  <c r="A8"/>
  <c r="C8"/>
  <c r="A9"/>
  <c r="C9"/>
  <c r="A10"/>
  <c r="C10"/>
  <c r="A11"/>
  <c r="C11"/>
  <c r="A12"/>
  <c r="C12"/>
  <c r="A14"/>
  <c r="C14"/>
  <c r="A15"/>
  <c r="C15"/>
  <c r="T15"/>
  <c r="A16"/>
  <c r="C16"/>
  <c r="A17"/>
  <c r="C17"/>
  <c r="T17"/>
  <c r="A18"/>
  <c r="C18"/>
  <c r="Q18"/>
  <c r="AJ18"/>
  <c r="AP18"/>
  <c r="AR18"/>
  <c r="AS18"/>
  <c r="AT18"/>
  <c r="AU18"/>
  <c r="AV18"/>
  <c r="A19"/>
  <c r="C19"/>
  <c r="AA19"/>
  <c r="A20"/>
  <c r="C20"/>
  <c r="AA20"/>
  <c r="AJ20"/>
  <c r="AP20"/>
  <c r="AR20"/>
  <c r="AS20"/>
  <c r="AT20"/>
  <c r="AV20"/>
  <c r="A21"/>
  <c r="C21"/>
  <c r="A22"/>
  <c r="C22"/>
  <c r="AB22"/>
  <c r="AJ22"/>
  <c r="AO22"/>
  <c r="AP22"/>
  <c r="AR22"/>
  <c r="AT22"/>
  <c r="AV22"/>
  <c r="A23"/>
  <c r="C23"/>
  <c r="A24"/>
  <c r="C24"/>
  <c r="AJ24"/>
  <c r="AP24"/>
  <c r="AR24"/>
  <c r="AT24"/>
  <c r="AV24"/>
  <c r="A25"/>
  <c r="C25"/>
  <c r="A26"/>
  <c r="C26"/>
  <c r="Q26"/>
  <c r="M26"/>
  <c r="AQ26"/>
  <c r="J40" i="1"/>
  <c r="AJ26" i="7"/>
  <c r="AO26"/>
  <c r="AP26"/>
  <c r="AR26"/>
  <c r="AS26"/>
  <c r="AT26"/>
  <c r="AU26"/>
  <c r="AV26"/>
  <c r="K28"/>
  <c r="M28"/>
  <c r="AQ28"/>
  <c r="J22" i="1"/>
  <c r="O28" i="7"/>
  <c r="AS28"/>
  <c r="Q28"/>
  <c r="AJ28"/>
  <c r="AP28"/>
  <c r="AR28"/>
  <c r="AT28"/>
  <c r="AU28"/>
  <c r="AV28"/>
  <c r="A29"/>
  <c r="C29"/>
  <c r="A30"/>
  <c r="C30"/>
  <c r="K30"/>
  <c r="M30"/>
  <c r="AQ30"/>
  <c r="J28" i="1"/>
  <c r="O30" i="7"/>
  <c r="Q30"/>
  <c r="AJ30"/>
  <c r="AO30"/>
  <c r="AP30"/>
  <c r="AR30"/>
  <c r="AS30"/>
  <c r="AT30"/>
  <c r="AU30"/>
  <c r="AV30"/>
  <c r="A31"/>
  <c r="C31"/>
  <c r="A32"/>
  <c r="C32"/>
  <c r="M32"/>
  <c r="AQ32"/>
  <c r="J31" i="1"/>
  <c r="O32" i="7"/>
  <c r="Q32"/>
  <c r="Q34"/>
  <c r="AJ32"/>
  <c r="AO32"/>
  <c r="AP32"/>
  <c r="AR32"/>
  <c r="AS32"/>
  <c r="AT32"/>
  <c r="AU32"/>
  <c r="AV32"/>
  <c r="A33"/>
  <c r="C33"/>
  <c r="A34"/>
  <c r="C34"/>
  <c r="K34"/>
  <c r="M34"/>
  <c r="AQ34"/>
  <c r="J34" i="1"/>
  <c r="AJ34" i="7"/>
  <c r="AO34"/>
  <c r="J152" i="1"/>
  <c r="N152" s="1"/>
  <c r="AP34" i="7"/>
  <c r="AR34"/>
  <c r="AT34"/>
  <c r="AV34"/>
  <c r="A35"/>
  <c r="C35"/>
  <c r="A36"/>
  <c r="C36"/>
  <c r="K36"/>
  <c r="M36"/>
  <c r="AJ36"/>
  <c r="AO36"/>
  <c r="AP36"/>
  <c r="AR36"/>
  <c r="AS36"/>
  <c r="AT36"/>
  <c r="AV36"/>
  <c r="A37"/>
  <c r="C37"/>
  <c r="A38"/>
  <c r="C38"/>
  <c r="W38"/>
  <c r="AJ38"/>
  <c r="AP38"/>
  <c r="AR38"/>
  <c r="AS38"/>
  <c r="AT38"/>
  <c r="AV38"/>
  <c r="A39"/>
  <c r="C39"/>
  <c r="A40"/>
  <c r="C40"/>
  <c r="W40"/>
  <c r="AJ40"/>
  <c r="AO40"/>
  <c r="AP40"/>
  <c r="AR40"/>
  <c r="AT40"/>
  <c r="AU40"/>
  <c r="AV40"/>
  <c r="A41"/>
  <c r="C41"/>
  <c r="W41"/>
  <c r="A42"/>
  <c r="C42"/>
  <c r="A43"/>
  <c r="C43"/>
  <c r="A44"/>
  <c r="C44"/>
  <c r="A45"/>
  <c r="C45"/>
  <c r="A46"/>
  <c r="C46"/>
  <c r="A47"/>
  <c r="C47"/>
  <c r="A48"/>
  <c r="C48"/>
  <c r="A49"/>
  <c r="C49"/>
  <c r="A50"/>
  <c r="C50"/>
  <c r="A51"/>
  <c r="C51"/>
  <c r="A52"/>
  <c r="C52"/>
  <c r="A53"/>
  <c r="C53"/>
  <c r="A54"/>
  <c r="C54"/>
  <c r="A55"/>
  <c r="C55"/>
  <c r="A56"/>
  <c r="C56"/>
  <c r="A57"/>
  <c r="C57"/>
  <c r="A58"/>
  <c r="C58"/>
  <c r="A59"/>
  <c r="C59"/>
  <c r="H59"/>
  <c r="A60"/>
  <c r="C60"/>
  <c r="A61"/>
  <c r="C61"/>
  <c r="A62"/>
  <c r="C62"/>
  <c r="A63"/>
  <c r="C63"/>
  <c r="A64"/>
  <c r="C64"/>
  <c r="A65"/>
  <c r="C65"/>
  <c r="A66"/>
  <c r="C66"/>
  <c r="H66"/>
  <c r="A67"/>
  <c r="C67"/>
  <c r="A68"/>
  <c r="C68"/>
  <c r="A69"/>
  <c r="C69"/>
  <c r="A70"/>
  <c r="C70"/>
  <c r="A71"/>
  <c r="C71"/>
  <c r="A72"/>
  <c r="C72"/>
  <c r="A73"/>
  <c r="C73"/>
  <c r="A74"/>
  <c r="C74"/>
  <c r="A75"/>
  <c r="C75"/>
  <c r="C282"/>
  <c r="G282"/>
  <c r="H282"/>
  <c r="A11" i="8" s="1"/>
  <c r="B11" s="1"/>
  <c r="I282" i="7"/>
  <c r="J282"/>
  <c r="L41" i="8" s="1"/>
  <c r="K282" i="7"/>
  <c r="L282"/>
  <c r="H41" i="8" s="1"/>
  <c r="M282" i="7"/>
  <c r="N282"/>
  <c r="J11" i="8" s="1"/>
  <c r="L11" s="1"/>
  <c r="G283" i="7"/>
  <c r="H283"/>
  <c r="A12" i="8" s="1"/>
  <c r="B12" s="1"/>
  <c r="I283" i="7"/>
  <c r="J283"/>
  <c r="C12" i="8" s="1"/>
  <c r="D12" s="1"/>
  <c r="K283" i="7"/>
  <c r="L283"/>
  <c r="F12" i="8" s="1"/>
  <c r="H12" s="1"/>
  <c r="M283" i="7"/>
  <c r="N283"/>
  <c r="J12" i="8" s="1"/>
  <c r="L12" s="1"/>
  <c r="G284" i="7"/>
  <c r="H284"/>
  <c r="A13" i="8" s="1"/>
  <c r="B13" s="1"/>
  <c r="I284" i="7"/>
  <c r="J284"/>
  <c r="C13" i="8" s="1"/>
  <c r="D13" s="1"/>
  <c r="K284" i="7"/>
  <c r="L284"/>
  <c r="F13" i="8" s="1"/>
  <c r="H13" s="1"/>
  <c r="M284" i="7"/>
  <c r="N284"/>
  <c r="J13" i="8" s="1"/>
  <c r="L13" s="1"/>
  <c r="G285" i="7"/>
  <c r="N285"/>
  <c r="N295"/>
  <c r="N296"/>
  <c r="C297"/>
  <c r="F297"/>
  <c r="M297"/>
  <c r="N297"/>
  <c r="M298"/>
  <c r="N298"/>
  <c r="F299"/>
  <c r="M299"/>
  <c r="N299"/>
  <c r="M300"/>
  <c r="N300"/>
  <c r="F301"/>
  <c r="N301"/>
  <c r="F302"/>
  <c r="N302"/>
  <c r="F303"/>
  <c r="N303"/>
  <c r="F304"/>
  <c r="L304"/>
  <c r="N304"/>
  <c r="L305"/>
  <c r="N305"/>
  <c r="F306"/>
  <c r="L306"/>
  <c r="N306"/>
  <c r="L307"/>
  <c r="N307"/>
  <c r="F308"/>
  <c r="L308"/>
  <c r="N308"/>
  <c r="L309"/>
  <c r="N309"/>
  <c r="F310"/>
  <c r="N310"/>
  <c r="F311"/>
  <c r="N311"/>
  <c r="K41" i="8" s="1"/>
  <c r="K56" s="1"/>
  <c r="F312" i="7"/>
  <c r="N312"/>
  <c r="F313"/>
  <c r="N313"/>
  <c r="F314"/>
  <c r="N314"/>
  <c r="F315"/>
  <c r="N315"/>
  <c r="F41" i="8" s="1"/>
  <c r="N316" i="7"/>
  <c r="N317"/>
  <c r="C318"/>
  <c r="F318"/>
  <c r="N318"/>
  <c r="F319"/>
  <c r="N319"/>
  <c r="F320"/>
  <c r="N320"/>
  <c r="F321"/>
  <c r="N321"/>
  <c r="F322"/>
  <c r="N322"/>
  <c r="F323"/>
  <c r="N323"/>
  <c r="F324"/>
  <c r="N324"/>
  <c r="J41" i="8"/>
  <c r="K47" s="1"/>
  <c r="F325" i="7"/>
  <c r="N325"/>
  <c r="F326"/>
  <c r="N326"/>
  <c r="F327"/>
  <c r="N327"/>
  <c r="F328"/>
  <c r="N328"/>
  <c r="F329"/>
  <c r="N329"/>
  <c r="N330"/>
  <c r="N331"/>
  <c r="C332"/>
  <c r="G332"/>
  <c r="H332"/>
  <c r="I332"/>
  <c r="J332"/>
  <c r="K332"/>
  <c r="L332"/>
  <c r="M332"/>
  <c r="N332"/>
  <c r="G333"/>
  <c r="H333"/>
  <c r="I333"/>
  <c r="J333"/>
  <c r="K333"/>
  <c r="L333"/>
  <c r="M333"/>
  <c r="N333"/>
  <c r="G334"/>
  <c r="H334"/>
  <c r="I334"/>
  <c r="J334"/>
  <c r="K334"/>
  <c r="L334"/>
  <c r="M334"/>
  <c r="N334"/>
  <c r="G335"/>
  <c r="N335"/>
  <c r="K9" i="13"/>
  <c r="P9"/>
  <c r="K380" i="17" s="1"/>
  <c r="X13" i="13"/>
  <c r="O15"/>
  <c r="Q15"/>
  <c r="O18"/>
  <c r="Q18"/>
  <c r="O21"/>
  <c r="Q21"/>
  <c r="O24"/>
  <c r="Q24"/>
  <c r="O27"/>
  <c r="Q27"/>
  <c r="O30"/>
  <c r="Q30"/>
  <c r="O33"/>
  <c r="Q33"/>
  <c r="Q36"/>
  <c r="O39"/>
  <c r="Q39"/>
  <c r="O42"/>
  <c r="Q42"/>
  <c r="O45"/>
  <c r="Q45"/>
  <c r="O48"/>
  <c r="Q48"/>
  <c r="O51"/>
  <c r="Q51"/>
  <c r="O54"/>
  <c r="Q54"/>
  <c r="O57"/>
  <c r="Q57"/>
  <c r="Q60"/>
  <c r="K43" i="8"/>
  <c r="K49"/>
  <c r="K51"/>
  <c r="K57"/>
  <c r="K44"/>
  <c r="K50"/>
  <c r="K52"/>
  <c r="AQ54" i="4"/>
  <c r="M225" i="17"/>
  <c r="D41" i="8"/>
  <c r="E44" s="1"/>
  <c r="M44" s="1"/>
  <c r="L456" i="17"/>
  <c r="F11" i="8"/>
  <c r="H11"/>
  <c r="Q38" i="10"/>
  <c r="M41" i="8"/>
  <c r="E43"/>
  <c r="M43"/>
  <c r="E51"/>
  <c r="E55"/>
  <c r="E50"/>
  <c r="E54"/>
  <c r="O375" i="17"/>
  <c r="M327"/>
  <c r="A383"/>
  <c r="O471"/>
  <c r="L277"/>
  <c r="A305"/>
  <c r="A462"/>
  <c r="N477"/>
  <c r="L359"/>
  <c r="O422"/>
  <c r="A363"/>
  <c r="N467"/>
  <c r="N413"/>
  <c r="K397"/>
  <c r="M465"/>
  <c r="K247"/>
  <c r="N315"/>
  <c r="L358"/>
  <c r="L465"/>
  <c r="K282"/>
  <c r="L430"/>
  <c r="N451"/>
  <c r="N319"/>
  <c r="L362"/>
  <c r="L467"/>
  <c r="L308"/>
  <c r="L440"/>
  <c r="N461"/>
  <c r="K437"/>
  <c r="M426"/>
  <c r="O383"/>
  <c r="O353"/>
  <c r="M242"/>
  <c r="M188"/>
  <c r="N332"/>
  <c r="L311"/>
  <c r="K412"/>
  <c r="M313"/>
  <c r="N126"/>
  <c r="N105"/>
  <c r="N379"/>
  <c r="A412"/>
  <c r="M239"/>
  <c r="L352"/>
  <c r="L462"/>
  <c r="O216"/>
  <c r="A414"/>
  <c r="L435"/>
  <c r="M279"/>
  <c r="L372"/>
  <c r="L472"/>
  <c r="M474"/>
  <c r="O431"/>
  <c r="K421"/>
  <c r="M378"/>
  <c r="K343"/>
  <c r="K221"/>
  <c r="O97"/>
  <c r="A322"/>
  <c r="N300"/>
  <c r="O390"/>
  <c r="K275"/>
  <c r="K90"/>
  <c r="M147"/>
  <c r="N406"/>
  <c r="A428"/>
  <c r="A299"/>
  <c r="L384"/>
  <c r="L478"/>
  <c r="M179"/>
  <c r="N408"/>
  <c r="A430"/>
  <c r="K258"/>
  <c r="N361"/>
  <c r="A467"/>
  <c r="K477"/>
  <c r="M434"/>
  <c r="O423"/>
  <c r="K381"/>
  <c r="M348"/>
  <c r="O231"/>
  <c r="K154"/>
  <c r="L327"/>
  <c r="A306"/>
  <c r="M401"/>
  <c r="M299"/>
  <c r="K31" i="11"/>
  <c r="L10" i="17"/>
  <c r="L48"/>
  <c r="N55"/>
  <c r="L88"/>
  <c r="L106"/>
  <c r="L128"/>
  <c r="A133"/>
  <c r="L152"/>
  <c r="A157"/>
  <c r="N175"/>
  <c r="M15"/>
  <c r="K34"/>
  <c r="M39"/>
  <c r="K58"/>
  <c r="K62"/>
  <c r="K82"/>
  <c r="O90"/>
  <c r="K110"/>
  <c r="O114"/>
  <c r="A18"/>
  <c r="L23"/>
  <c r="A42"/>
  <c r="A52"/>
  <c r="N70"/>
  <c r="N74"/>
  <c r="N94"/>
  <c r="N98"/>
  <c r="L117"/>
  <c r="L127"/>
  <c r="A146"/>
  <c r="L151"/>
  <c r="A170"/>
  <c r="N174"/>
  <c r="K65"/>
  <c r="O99"/>
  <c r="M152"/>
  <c r="M160"/>
  <c r="A189"/>
  <c r="L194"/>
  <c r="A213"/>
  <c r="A223"/>
  <c r="N241"/>
  <c r="N245"/>
  <c r="W2" i="16" s="1"/>
  <c r="L260" i="17"/>
  <c r="A267"/>
  <c r="N281"/>
  <c r="A285"/>
  <c r="K27"/>
  <c r="K43"/>
  <c r="K99"/>
  <c r="O126"/>
  <c r="O154"/>
  <c r="M161"/>
  <c r="M185"/>
  <c r="O188"/>
  <c r="O202"/>
  <c r="K210"/>
  <c r="K61"/>
  <c r="K77"/>
  <c r="K129"/>
  <c r="O135"/>
  <c r="K165"/>
  <c r="M178"/>
  <c r="A194"/>
  <c r="L197"/>
  <c r="L211"/>
  <c r="L215"/>
  <c r="L229"/>
  <c r="N236"/>
  <c r="A35"/>
  <c r="L44"/>
  <c r="A77"/>
  <c r="A87"/>
  <c r="A117"/>
  <c r="N125"/>
  <c r="N145"/>
  <c r="N149"/>
  <c r="L168"/>
  <c r="N173"/>
  <c r="K22"/>
  <c r="K32"/>
  <c r="O50"/>
  <c r="M55"/>
  <c r="O74"/>
  <c r="M79"/>
  <c r="K98"/>
  <c r="M107"/>
  <c r="N10"/>
  <c r="A16"/>
  <c r="N34"/>
  <c r="L39"/>
  <c r="N58"/>
  <c r="A68"/>
  <c r="L87"/>
  <c r="A92"/>
  <c r="N110"/>
  <c r="A116"/>
  <c r="N134"/>
  <c r="A144"/>
  <c r="N162"/>
  <c r="L167"/>
  <c r="O35"/>
  <c r="M54"/>
  <c r="K127"/>
  <c r="K147"/>
  <c r="L182"/>
  <c r="N187"/>
  <c r="L206"/>
  <c r="L210"/>
  <c r="L230"/>
  <c r="A239"/>
  <c r="A255"/>
  <c r="L258"/>
  <c r="L272"/>
  <c r="L276"/>
  <c r="L290"/>
  <c r="O21"/>
  <c r="O77"/>
  <c r="K91"/>
  <c r="M137"/>
  <c r="K144"/>
  <c r="K172"/>
  <c r="M183"/>
  <c r="M197"/>
  <c r="M201"/>
  <c r="M26"/>
  <c r="O39"/>
  <c r="M98"/>
  <c r="K125"/>
  <c r="M154"/>
  <c r="K161"/>
  <c r="N184"/>
  <c r="N188"/>
  <c r="N202"/>
  <c r="A210"/>
  <c r="A224"/>
  <c r="L227"/>
  <c r="A242"/>
  <c r="L245"/>
  <c r="L24"/>
  <c r="N41"/>
  <c r="L74"/>
  <c r="A83"/>
  <c r="A115"/>
  <c r="L120"/>
  <c r="A139"/>
  <c r="A149"/>
  <c r="N167"/>
  <c r="L172"/>
  <c r="M21"/>
  <c r="K26"/>
  <c r="O44"/>
  <c r="K54"/>
  <c r="O72"/>
  <c r="K78"/>
  <c r="O96"/>
  <c r="M101"/>
  <c r="O120"/>
  <c r="N14"/>
  <c r="A34"/>
  <c r="N38"/>
  <c r="L57"/>
  <c r="N62"/>
  <c r="L81"/>
  <c r="N90"/>
  <c r="L109"/>
  <c r="A114"/>
  <c r="L133"/>
  <c r="A138"/>
  <c r="N156"/>
  <c r="N166"/>
  <c r="M30"/>
  <c r="O51"/>
  <c r="O125"/>
  <c r="O133"/>
  <c r="O173"/>
  <c r="N185"/>
  <c r="A205"/>
  <c r="N209"/>
  <c r="L228"/>
  <c r="N233"/>
  <c r="L250"/>
  <c r="N257"/>
  <c r="N271"/>
  <c r="A275"/>
  <c r="N289"/>
  <c r="A293"/>
  <c r="K59"/>
  <c r="M88"/>
  <c r="O134"/>
  <c r="O142"/>
  <c r="O170"/>
  <c r="M177"/>
  <c r="M193"/>
  <c r="K200"/>
  <c r="O23"/>
  <c r="K37"/>
  <c r="K93"/>
  <c r="K109"/>
  <c r="K145"/>
  <c r="O159"/>
  <c r="A184"/>
  <c r="L187"/>
  <c r="A202"/>
  <c r="L205"/>
  <c r="L219"/>
  <c r="N226"/>
  <c r="N240"/>
  <c r="N244"/>
  <c r="L255"/>
  <c r="A258"/>
  <c r="N268"/>
  <c r="A274"/>
  <c r="N284"/>
  <c r="L287"/>
  <c r="K71"/>
  <c r="O113"/>
  <c r="M192"/>
  <c r="M212"/>
  <c r="O233"/>
  <c r="K239"/>
  <c r="M260"/>
  <c r="O265"/>
  <c r="K287"/>
  <c r="K296"/>
  <c r="O306"/>
  <c r="M309"/>
  <c r="K320"/>
  <c r="O322"/>
  <c r="M333"/>
  <c r="O338"/>
  <c r="M349"/>
  <c r="K352"/>
  <c r="O362"/>
  <c r="M365"/>
  <c r="L132"/>
  <c r="L170"/>
  <c r="M75"/>
  <c r="K94"/>
  <c r="L55"/>
  <c r="A74"/>
  <c r="L149"/>
  <c r="K41"/>
  <c r="A207"/>
  <c r="L226"/>
  <c r="N287"/>
  <c r="O37"/>
  <c r="K188"/>
  <c r="K29"/>
  <c r="A186"/>
  <c r="A200"/>
  <c r="N248"/>
  <c r="L253"/>
  <c r="L267"/>
  <c r="N274"/>
  <c r="N288"/>
  <c r="A292"/>
  <c r="M167"/>
  <c r="K187"/>
  <c r="K227"/>
  <c r="O241"/>
  <c r="O269"/>
  <c r="O277"/>
  <c r="K300"/>
  <c r="M303"/>
  <c r="K318"/>
  <c r="O324"/>
  <c r="M339"/>
  <c r="O342"/>
  <c r="O356"/>
  <c r="O360"/>
  <c r="O372"/>
  <c r="K378"/>
  <c r="O380"/>
  <c r="M383"/>
  <c r="O388"/>
  <c r="M391"/>
  <c r="K394"/>
  <c r="M399"/>
  <c r="K402"/>
  <c r="O404"/>
  <c r="K410"/>
  <c r="O412"/>
  <c r="M415"/>
  <c r="O420"/>
  <c r="M423"/>
  <c r="K426"/>
  <c r="M431"/>
  <c r="K434"/>
  <c r="O436"/>
  <c r="M439"/>
  <c r="K442"/>
  <c r="O444"/>
  <c r="M447"/>
  <c r="K450"/>
  <c r="O452"/>
  <c r="M455"/>
  <c r="K458"/>
  <c r="O460"/>
  <c r="M463"/>
  <c r="K466"/>
  <c r="O468"/>
  <c r="M471"/>
  <c r="K474"/>
  <c r="O476"/>
  <c r="K15"/>
  <c r="O57"/>
  <c r="M100"/>
  <c r="K134"/>
  <c r="M155"/>
  <c r="O176"/>
  <c r="K189"/>
  <c r="O199"/>
  <c r="M210"/>
  <c r="K216"/>
  <c r="M221"/>
  <c r="O226"/>
  <c r="K232"/>
  <c r="M237"/>
  <c r="O242"/>
  <c r="K248"/>
  <c r="M253"/>
  <c r="O258"/>
  <c r="K264"/>
  <c r="M269"/>
  <c r="O274"/>
  <c r="K280"/>
  <c r="N29"/>
  <c r="A63"/>
  <c r="N95"/>
  <c r="L122"/>
  <c r="N141"/>
  <c r="L160"/>
  <c r="A179"/>
  <c r="O28"/>
  <c r="M47"/>
  <c r="K66"/>
  <c r="M85"/>
  <c r="K104"/>
  <c r="O122"/>
  <c r="N26"/>
  <c r="L45"/>
  <c r="A64"/>
  <c r="A84"/>
  <c r="N102"/>
  <c r="L121"/>
  <c r="N140"/>
  <c r="L159"/>
  <c r="A178"/>
  <c r="M78"/>
  <c r="K139"/>
  <c r="M176"/>
  <c r="L198"/>
  <c r="A217"/>
  <c r="N235"/>
  <c r="L252"/>
  <c r="L266"/>
  <c r="L280"/>
  <c r="K11"/>
  <c r="K67"/>
  <c r="K123"/>
  <c r="M153"/>
  <c r="O180"/>
  <c r="O194"/>
  <c r="M209"/>
  <c r="M58"/>
  <c r="M114"/>
  <c r="K149"/>
  <c r="K177"/>
  <c r="N192"/>
  <c r="L207"/>
  <c r="L221"/>
  <c r="L235"/>
  <c r="A246"/>
  <c r="L251"/>
  <c r="N254"/>
  <c r="N258"/>
  <c r="A262"/>
  <c r="L265"/>
  <c r="L269"/>
  <c r="N272"/>
  <c r="A276"/>
  <c r="A280"/>
  <c r="L283"/>
  <c r="N286"/>
  <c r="N290"/>
  <c r="A294"/>
  <c r="M60"/>
  <c r="M124"/>
  <c r="M151"/>
  <c r="K178"/>
  <c r="K195"/>
  <c r="M208"/>
  <c r="M216"/>
  <c r="M224"/>
  <c r="K231"/>
  <c r="O237"/>
  <c r="O245"/>
  <c r="AJ1" i="16" s="1"/>
  <c r="M252" i="17"/>
  <c r="K259"/>
  <c r="K267"/>
  <c r="O273"/>
  <c r="M280"/>
  <c r="M288"/>
  <c r="O294"/>
  <c r="K298"/>
  <c r="K302"/>
  <c r="M305"/>
  <c r="O308"/>
  <c r="O312"/>
  <c r="K316"/>
  <c r="M319"/>
  <c r="M323"/>
  <c r="O326"/>
  <c r="K330"/>
  <c r="K334"/>
  <c r="M337"/>
  <c r="O340"/>
  <c r="O344"/>
  <c r="K348"/>
  <c r="M351"/>
  <c r="M355"/>
  <c r="O358"/>
  <c r="K362"/>
  <c r="K366"/>
  <c r="O368"/>
  <c r="M371"/>
  <c r="K374"/>
  <c r="O376"/>
  <c r="M379"/>
  <c r="K382"/>
  <c r="O384"/>
  <c r="M387"/>
  <c r="K390"/>
  <c r="O392"/>
  <c r="M395"/>
  <c r="K398"/>
  <c r="O400"/>
  <c r="M403"/>
  <c r="K406"/>
  <c r="O408"/>
  <c r="M411"/>
  <c r="K414"/>
  <c r="O416"/>
  <c r="M419"/>
  <c r="K422"/>
  <c r="O424"/>
  <c r="M427"/>
  <c r="K430"/>
  <c r="O432"/>
  <c r="M435"/>
  <c r="K438"/>
  <c r="O440"/>
  <c r="M443"/>
  <c r="K446"/>
  <c r="O448"/>
  <c r="M451"/>
  <c r="K454"/>
  <c r="O456"/>
  <c r="M459"/>
  <c r="K462"/>
  <c r="O464"/>
  <c r="M467"/>
  <c r="K470"/>
  <c r="O472"/>
  <c r="M475"/>
  <c r="K478"/>
  <c r="M36"/>
  <c r="K79"/>
  <c r="O121"/>
  <c r="O144"/>
  <c r="K166"/>
  <c r="O183"/>
  <c r="M194"/>
  <c r="K205"/>
  <c r="M213"/>
  <c r="O218"/>
  <c r="K224"/>
  <c r="M229"/>
  <c r="O234"/>
  <c r="K240"/>
  <c r="M245"/>
  <c r="W3" i="16" s="1"/>
  <c r="O250" i="17"/>
  <c r="K256"/>
  <c r="M261"/>
  <c r="O266"/>
  <c r="K272"/>
  <c r="M277"/>
  <c r="O282"/>
  <c r="K288"/>
  <c r="M293"/>
  <c r="N296"/>
  <c r="L299"/>
  <c r="A302"/>
  <c r="N304"/>
  <c r="L307"/>
  <c r="A310"/>
  <c r="N312"/>
  <c r="L315"/>
  <c r="A318"/>
  <c r="N320"/>
  <c r="L323"/>
  <c r="A326"/>
  <c r="N328"/>
  <c r="L331"/>
  <c r="A334"/>
  <c r="N336"/>
  <c r="L339"/>
  <c r="A342"/>
  <c r="N344"/>
  <c r="L347"/>
  <c r="A350"/>
  <c r="N352"/>
  <c r="L355"/>
  <c r="A358"/>
  <c r="N360"/>
  <c r="L363"/>
  <c r="A366"/>
  <c r="N368"/>
  <c r="L371"/>
  <c r="A374"/>
  <c r="N376"/>
  <c r="L379"/>
  <c r="A382"/>
  <c r="N384"/>
  <c r="L387"/>
  <c r="A390"/>
  <c r="N392"/>
  <c r="L395"/>
  <c r="A398"/>
  <c r="N400"/>
  <c r="O33"/>
  <c r="M76"/>
  <c r="K119"/>
  <c r="M143"/>
  <c r="O164"/>
  <c r="K183"/>
  <c r="O193"/>
  <c r="M204"/>
  <c r="K213"/>
  <c r="M218"/>
  <c r="O223"/>
  <c r="K229"/>
  <c r="M234"/>
  <c r="O239"/>
  <c r="K245"/>
  <c r="M250"/>
  <c r="O255"/>
  <c r="K261"/>
  <c r="M266"/>
  <c r="O271"/>
  <c r="K277"/>
  <c r="M282"/>
  <c r="O287"/>
  <c r="K293"/>
  <c r="M296"/>
  <c r="K299"/>
  <c r="O301"/>
  <c r="M304"/>
  <c r="K307"/>
  <c r="O309"/>
  <c r="M312"/>
  <c r="K315"/>
  <c r="O317"/>
  <c r="M320"/>
  <c r="K323"/>
  <c r="O325"/>
  <c r="M328"/>
  <c r="K331"/>
  <c r="O333"/>
  <c r="M336"/>
  <c r="K339"/>
  <c r="O341"/>
  <c r="M344"/>
  <c r="K347"/>
  <c r="O349"/>
  <c r="M352"/>
  <c r="K355"/>
  <c r="O357"/>
  <c r="M360"/>
  <c r="K363"/>
  <c r="O365"/>
  <c r="M368"/>
  <c r="L20"/>
  <c r="A55"/>
  <c r="N87"/>
  <c r="N117"/>
  <c r="L136"/>
  <c r="L156"/>
  <c r="A175"/>
  <c r="M23"/>
  <c r="O42"/>
  <c r="M61"/>
  <c r="K80"/>
  <c r="M99"/>
  <c r="K118"/>
  <c r="L21"/>
  <c r="L41"/>
  <c r="A60"/>
  <c r="N78"/>
  <c r="A98"/>
  <c r="N116"/>
  <c r="L135"/>
  <c r="N154"/>
  <c r="L173"/>
  <c r="K57"/>
  <c r="K131"/>
  <c r="M168"/>
  <c r="A193"/>
  <c r="L212"/>
  <c r="A231"/>
  <c r="L248"/>
  <c r="A263"/>
  <c r="A277"/>
  <c r="A291"/>
  <c r="O53"/>
  <c r="O109"/>
  <c r="M145"/>
  <c r="O174"/>
  <c r="M191"/>
  <c r="M205"/>
  <c r="K45"/>
  <c r="K101"/>
  <c r="K141"/>
  <c r="M170"/>
  <c r="L189"/>
  <c r="L203"/>
  <c r="A218"/>
  <c r="A232"/>
  <c r="L243"/>
  <c r="L249"/>
  <c r="A254"/>
  <c r="L257"/>
  <c r="L261"/>
  <c r="N264"/>
  <c r="A268"/>
  <c r="A272"/>
  <c r="L275"/>
  <c r="N278"/>
  <c r="N282"/>
  <c r="A286"/>
  <c r="L289"/>
  <c r="L293"/>
  <c r="O49"/>
  <c r="K103"/>
  <c r="K146"/>
  <c r="O172"/>
  <c r="O189"/>
  <c r="O205"/>
  <c r="K215"/>
  <c r="O221"/>
  <c r="O229"/>
  <c r="M236"/>
  <c r="K243"/>
  <c r="K251"/>
  <c r="O257"/>
  <c r="M264"/>
  <c r="M272"/>
  <c r="K279"/>
  <c r="O285"/>
  <c r="O293"/>
  <c r="M297"/>
  <c r="O300"/>
  <c r="O304"/>
  <c r="K308"/>
  <c r="M311"/>
  <c r="M315"/>
  <c r="O318"/>
  <c r="K322"/>
  <c r="K326"/>
  <c r="M329"/>
  <c r="O332"/>
  <c r="O336"/>
  <c r="K340"/>
  <c r="M343"/>
  <c r="M347"/>
  <c r="O350"/>
  <c r="K354"/>
  <c r="K358"/>
  <c r="M361"/>
  <c r="O364"/>
  <c r="K368"/>
  <c r="O370"/>
  <c r="M373"/>
  <c r="K376"/>
  <c r="O378"/>
  <c r="M381"/>
  <c r="K384"/>
  <c r="O386"/>
  <c r="M389"/>
  <c r="K392"/>
  <c r="O394"/>
  <c r="M397"/>
  <c r="K400"/>
  <c r="O402"/>
  <c r="M405"/>
  <c r="K408"/>
  <c r="O410"/>
  <c r="M413"/>
  <c r="K416"/>
  <c r="O418"/>
  <c r="M421"/>
  <c r="K424"/>
  <c r="O426"/>
  <c r="M429"/>
  <c r="K432"/>
  <c r="O434"/>
  <c r="M437"/>
  <c r="K440"/>
  <c r="O442"/>
  <c r="M445"/>
  <c r="K448"/>
  <c r="O450"/>
  <c r="M453"/>
  <c r="K456"/>
  <c r="O458"/>
  <c r="M461"/>
  <c r="K464"/>
  <c r="O466"/>
  <c r="M469"/>
  <c r="K472"/>
  <c r="O474"/>
  <c r="M477"/>
  <c r="O25"/>
  <c r="M68"/>
  <c r="K111"/>
  <c r="M139"/>
  <c r="O160"/>
  <c r="K181"/>
  <c r="O191"/>
  <c r="M202"/>
  <c r="K212"/>
  <c r="M217"/>
  <c r="O222"/>
  <c r="K228"/>
  <c r="M233"/>
  <c r="O238"/>
  <c r="K244"/>
  <c r="M249"/>
  <c r="O254"/>
  <c r="K260"/>
  <c r="M265"/>
  <c r="O270"/>
  <c r="K276"/>
  <c r="M281"/>
  <c r="O286"/>
  <c r="K292"/>
  <c r="A296"/>
  <c r="N298"/>
  <c r="L301"/>
  <c r="A304"/>
  <c r="N306"/>
  <c r="L309"/>
  <c r="A312"/>
  <c r="N314"/>
  <c r="L317"/>
  <c r="A320"/>
  <c r="N322"/>
  <c r="L325"/>
  <c r="A328"/>
  <c r="N330"/>
  <c r="L333"/>
  <c r="A336"/>
  <c r="N338"/>
  <c r="L341"/>
  <c r="A344"/>
  <c r="N346"/>
  <c r="L349"/>
  <c r="A352"/>
  <c r="N354"/>
  <c r="L357"/>
  <c r="A360"/>
  <c r="N362"/>
  <c r="L365"/>
  <c r="A368"/>
  <c r="N370"/>
  <c r="L373"/>
  <c r="A376"/>
  <c r="N378"/>
  <c r="L381"/>
  <c r="A384"/>
  <c r="N386"/>
  <c r="L389"/>
  <c r="A392"/>
  <c r="N394"/>
  <c r="L397"/>
  <c r="A400"/>
  <c r="K23"/>
  <c r="O65"/>
  <c r="M108"/>
  <c r="K138"/>
  <c r="M159"/>
  <c r="M180"/>
  <c r="K191"/>
  <c r="O201"/>
  <c r="O211"/>
  <c r="K217"/>
  <c r="M222"/>
  <c r="O227"/>
  <c r="K233"/>
  <c r="M238"/>
  <c r="O243"/>
  <c r="K249"/>
  <c r="M254"/>
  <c r="O259"/>
  <c r="K265"/>
  <c r="M270"/>
  <c r="O275"/>
  <c r="K281"/>
  <c r="M286"/>
  <c r="O291"/>
  <c r="O295"/>
  <c r="M298"/>
  <c r="K301"/>
  <c r="O303"/>
  <c r="M306"/>
  <c r="K309"/>
  <c r="O311"/>
  <c r="M314"/>
  <c r="K317"/>
  <c r="O319"/>
  <c r="M322"/>
  <c r="K325"/>
  <c r="O327"/>
  <c r="M330"/>
  <c r="K333"/>
  <c r="O335"/>
  <c r="M338"/>
  <c r="K341"/>
  <c r="O343"/>
  <c r="M346"/>
  <c r="K349"/>
  <c r="O351"/>
  <c r="M354"/>
  <c r="K357"/>
  <c r="O359"/>
  <c r="M362"/>
  <c r="K365"/>
  <c r="O367"/>
  <c r="M370"/>
  <c r="K126"/>
  <c r="O224"/>
  <c r="M267"/>
  <c r="L302"/>
  <c r="N323"/>
  <c r="A345"/>
  <c r="L366"/>
  <c r="N387"/>
  <c r="L405"/>
  <c r="L421"/>
  <c r="A432"/>
  <c r="N442"/>
  <c r="L453"/>
  <c r="A464"/>
  <c r="N474"/>
  <c r="K31"/>
  <c r="O212"/>
  <c r="M255"/>
  <c r="L296"/>
  <c r="N317"/>
  <c r="A339"/>
  <c r="L360"/>
  <c r="A371"/>
  <c r="L392"/>
  <c r="N407"/>
  <c r="N423"/>
  <c r="N439"/>
  <c r="L450"/>
  <c r="A461"/>
  <c r="N471"/>
  <c r="M20"/>
  <c r="M211"/>
  <c r="K254"/>
  <c r="N295"/>
  <c r="A317"/>
  <c r="L338"/>
  <c r="L370"/>
  <c r="N391"/>
  <c r="A402"/>
  <c r="N412"/>
  <c r="L423"/>
  <c r="A434"/>
  <c r="N444"/>
  <c r="N460"/>
  <c r="A466"/>
  <c r="N476"/>
  <c r="O152"/>
  <c r="L348"/>
  <c r="M84"/>
  <c r="K185"/>
  <c r="M219"/>
  <c r="O240"/>
  <c r="K262"/>
  <c r="M283"/>
  <c r="N299"/>
  <c r="L310"/>
  <c r="A321"/>
  <c r="N331"/>
  <c r="L342"/>
  <c r="A353"/>
  <c r="N363"/>
  <c r="L374"/>
  <c r="A385"/>
  <c r="N395"/>
  <c r="A404"/>
  <c r="L409"/>
  <c r="N414"/>
  <c r="A420"/>
  <c r="L425"/>
  <c r="N430"/>
  <c r="A436"/>
  <c r="L441"/>
  <c r="N446"/>
  <c r="A452"/>
  <c r="L457"/>
  <c r="N462"/>
  <c r="A468"/>
  <c r="L473"/>
  <c r="N478"/>
  <c r="K142"/>
  <c r="O203"/>
  <c r="O228"/>
  <c r="K250"/>
  <c r="M271"/>
  <c r="O292"/>
  <c r="L304"/>
  <c r="A315"/>
  <c r="N325"/>
  <c r="L336"/>
  <c r="A347"/>
  <c r="N357"/>
  <c r="L368"/>
  <c r="A379"/>
  <c r="N389"/>
  <c r="L400"/>
  <c r="L406"/>
  <c r="N411"/>
  <c r="A417"/>
  <c r="L422"/>
  <c r="N427"/>
  <c r="A433"/>
  <c r="L438"/>
  <c r="N443"/>
  <c r="A449"/>
  <c r="L454"/>
  <c r="N459"/>
  <c r="A465"/>
  <c r="L470"/>
  <c r="N475"/>
  <c r="O136"/>
  <c r="K201"/>
  <c r="M227"/>
  <c r="O248"/>
  <c r="K270"/>
  <c r="M291"/>
  <c r="N303"/>
  <c r="L314"/>
  <c r="A325"/>
  <c r="N335"/>
  <c r="L346"/>
  <c r="A357"/>
  <c r="N367"/>
  <c r="L378"/>
  <c r="A389"/>
  <c r="N399"/>
  <c r="A406"/>
  <c r="L411"/>
  <c r="N416"/>
  <c r="A422"/>
  <c r="L427"/>
  <c r="N432"/>
  <c r="A438"/>
  <c r="L443"/>
  <c r="N448"/>
  <c r="A454"/>
  <c r="L459"/>
  <c r="N464"/>
  <c r="A470"/>
  <c r="L475"/>
  <c r="M131"/>
  <c r="M198"/>
  <c r="K226"/>
  <c r="M247"/>
  <c r="O268"/>
  <c r="K290"/>
  <c r="A303"/>
  <c r="N313"/>
  <c r="L324"/>
  <c r="A335"/>
  <c r="N345"/>
  <c r="L356"/>
  <c r="A367"/>
  <c r="N377"/>
  <c r="L388"/>
  <c r="A399"/>
  <c r="N405"/>
  <c r="A411"/>
  <c r="L416"/>
  <c r="N421"/>
  <c r="A427"/>
  <c r="L432"/>
  <c r="N437"/>
  <c r="A443"/>
  <c r="L448"/>
  <c r="N453"/>
  <c r="A459"/>
  <c r="L464"/>
  <c r="N469"/>
  <c r="A475"/>
  <c r="M478"/>
  <c r="O475"/>
  <c r="K473"/>
  <c r="M470"/>
  <c r="O467"/>
  <c r="K465"/>
  <c r="M462"/>
  <c r="O459"/>
  <c r="K457"/>
  <c r="M454"/>
  <c r="O451"/>
  <c r="K449"/>
  <c r="M446"/>
  <c r="O443"/>
  <c r="K441"/>
  <c r="M438"/>
  <c r="O435"/>
  <c r="K433"/>
  <c r="M430"/>
  <c r="O427"/>
  <c r="K425"/>
  <c r="M422"/>
  <c r="O419"/>
  <c r="K417"/>
  <c r="M414"/>
  <c r="O411"/>
  <c r="K409"/>
  <c r="M406"/>
  <c r="O403"/>
  <c r="K401"/>
  <c r="M398"/>
  <c r="O395"/>
  <c r="K393"/>
  <c r="M390"/>
  <c r="O387"/>
  <c r="K385"/>
  <c r="M382"/>
  <c r="O379"/>
  <c r="K377"/>
  <c r="M374"/>
  <c r="O371"/>
  <c r="K367"/>
  <c r="O361"/>
  <c r="M356"/>
  <c r="K351"/>
  <c r="O345"/>
  <c r="M340"/>
  <c r="K335"/>
  <c r="O329"/>
  <c r="M324"/>
  <c r="K319"/>
  <c r="O313"/>
  <c r="M308"/>
  <c r="K303"/>
  <c r="O297"/>
  <c r="M290"/>
  <c r="O279"/>
  <c r="K269"/>
  <c r="M258"/>
  <c r="O247"/>
  <c r="K237"/>
  <c r="M226"/>
  <c r="O215"/>
  <c r="K199"/>
  <c r="M175"/>
  <c r="O132"/>
  <c r="K55"/>
  <c r="L399"/>
  <c r="A394"/>
  <c r="N388"/>
  <c r="L383"/>
  <c r="A378"/>
  <c r="N372"/>
  <c r="L367"/>
  <c r="A362"/>
  <c r="N356"/>
  <c r="L351"/>
  <c r="A346"/>
  <c r="N340"/>
  <c r="L335"/>
  <c r="A330"/>
  <c r="N324"/>
  <c r="L319"/>
  <c r="A314"/>
  <c r="N308"/>
  <c r="L303"/>
  <c r="A298"/>
  <c r="O290"/>
  <c r="O278"/>
  <c r="M257"/>
  <c r="K236"/>
  <c r="O214"/>
  <c r="M171"/>
  <c r="K47"/>
  <c r="O470"/>
  <c r="K460"/>
  <c r="M449"/>
  <c r="O438"/>
  <c r="K428"/>
  <c r="M417"/>
  <c r="O406"/>
  <c r="K396"/>
  <c r="M385"/>
  <c r="O374"/>
  <c r="M363"/>
  <c r="O348"/>
  <c r="O334"/>
  <c r="O320"/>
  <c r="K306"/>
  <c r="O289"/>
  <c r="O261"/>
  <c r="M232"/>
  <c r="O197"/>
  <c r="O81"/>
  <c r="A284"/>
  <c r="A270"/>
  <c r="A256"/>
  <c r="N224"/>
  <c r="O155"/>
  <c r="O198"/>
  <c r="M80"/>
  <c r="N255"/>
  <c r="N183"/>
  <c r="A164"/>
  <c r="A88"/>
  <c r="N12"/>
  <c r="M51"/>
  <c r="L146"/>
  <c r="A37"/>
  <c r="O195"/>
  <c r="K246"/>
  <c r="O288"/>
  <c r="A313"/>
  <c r="L334"/>
  <c r="N355"/>
  <c r="A377"/>
  <c r="L398"/>
  <c r="N410"/>
  <c r="N426"/>
  <c r="L437"/>
  <c r="A448"/>
  <c r="N458"/>
  <c r="L469"/>
  <c r="M163"/>
  <c r="K234"/>
  <c r="O276"/>
  <c r="A307"/>
  <c r="L328"/>
  <c r="N349"/>
  <c r="N381"/>
  <c r="L402"/>
  <c r="A413"/>
  <c r="L418"/>
  <c r="A429"/>
  <c r="A445"/>
  <c r="N455"/>
  <c r="L466"/>
  <c r="A477"/>
  <c r="K158"/>
  <c r="O232"/>
  <c r="M275"/>
  <c r="L306"/>
  <c r="N327"/>
  <c r="A349"/>
  <c r="A381"/>
  <c r="L407"/>
  <c r="A418"/>
  <c r="N428"/>
  <c r="L439"/>
  <c r="L455"/>
  <c r="L471"/>
  <c r="A327"/>
  <c r="O41"/>
  <c r="O168"/>
  <c r="K214"/>
  <c r="M235"/>
  <c r="O256"/>
  <c r="K278"/>
  <c r="A297"/>
  <c r="N307"/>
  <c r="L318"/>
  <c r="A329"/>
  <c r="N339"/>
  <c r="L350"/>
  <c r="A361"/>
  <c r="N371"/>
  <c r="L382"/>
  <c r="A393"/>
  <c r="N402"/>
  <c r="A408"/>
  <c r="L413"/>
  <c r="N418"/>
  <c r="A424"/>
  <c r="L429"/>
  <c r="N434"/>
  <c r="A440"/>
  <c r="L445"/>
  <c r="N450"/>
  <c r="A456"/>
  <c r="L461"/>
  <c r="N466"/>
  <c r="A472"/>
  <c r="L477"/>
  <c r="M116"/>
  <c r="K193"/>
  <c r="M223"/>
  <c r="O244"/>
  <c r="K266"/>
  <c r="M287"/>
  <c r="N301"/>
  <c r="L312"/>
  <c r="A323"/>
  <c r="N333"/>
  <c r="L344"/>
  <c r="A355"/>
  <c r="N365"/>
  <c r="L376"/>
  <c r="A387"/>
  <c r="N397"/>
  <c r="A405"/>
  <c r="L410"/>
  <c r="N415"/>
  <c r="A421"/>
  <c r="L426"/>
  <c r="N431"/>
  <c r="A437"/>
  <c r="L442"/>
  <c r="N447"/>
  <c r="A453"/>
  <c r="L458"/>
  <c r="N463"/>
  <c r="A469"/>
  <c r="L474"/>
  <c r="O105"/>
  <c r="M190"/>
  <c r="K222"/>
  <c r="M243"/>
  <c r="O264"/>
  <c r="K286"/>
  <c r="A301"/>
  <c r="N311"/>
  <c r="L322"/>
  <c r="A333"/>
  <c r="N343"/>
  <c r="L354"/>
  <c r="A365"/>
  <c r="N375"/>
  <c r="L386"/>
  <c r="A397"/>
  <c r="N404"/>
  <c r="A410"/>
  <c r="L415"/>
  <c r="N420"/>
  <c r="A426"/>
  <c r="L431"/>
  <c r="N436"/>
  <c r="A442"/>
  <c r="L447"/>
  <c r="N452"/>
  <c r="A458"/>
  <c r="L463"/>
  <c r="N468"/>
  <c r="A474"/>
  <c r="R17" i="16"/>
  <c r="C8" s="1"/>
  <c r="K95" i="17"/>
  <c r="O187"/>
  <c r="O220"/>
  <c r="K242"/>
  <c r="M263"/>
  <c r="O284"/>
  <c r="L300"/>
  <c r="A311"/>
  <c r="N321"/>
  <c r="L332"/>
  <c r="A343"/>
  <c r="N353"/>
  <c r="L364"/>
  <c r="A375"/>
  <c r="N385"/>
  <c r="L396"/>
  <c r="L404"/>
  <c r="N409"/>
  <c r="A415"/>
  <c r="L420"/>
  <c r="N425"/>
  <c r="A431"/>
  <c r="L436"/>
  <c r="N441"/>
  <c r="A447"/>
  <c r="L452"/>
  <c r="N457"/>
  <c r="A463"/>
  <c r="L468"/>
  <c r="N473"/>
  <c r="M476"/>
  <c r="O473"/>
  <c r="K471"/>
  <c r="M468"/>
  <c r="O465"/>
  <c r="K463"/>
  <c r="M460"/>
  <c r="O457"/>
  <c r="K455"/>
  <c r="M452"/>
  <c r="O449"/>
  <c r="K447"/>
  <c r="M444"/>
  <c r="O441"/>
  <c r="K439"/>
  <c r="M436"/>
  <c r="O433"/>
  <c r="K431"/>
  <c r="M428"/>
  <c r="O425"/>
  <c r="K423"/>
  <c r="M420"/>
  <c r="O417"/>
  <c r="K415"/>
  <c r="M412"/>
  <c r="O409"/>
  <c r="K407"/>
  <c r="M404"/>
  <c r="O401"/>
  <c r="K399"/>
  <c r="M396"/>
  <c r="O393"/>
  <c r="K391"/>
  <c r="M388"/>
  <c r="O385"/>
  <c r="K383"/>
  <c r="M380"/>
  <c r="O377"/>
  <c r="K375"/>
  <c r="M372"/>
  <c r="K369"/>
  <c r="O363"/>
  <c r="M358"/>
  <c r="K353"/>
  <c r="O347"/>
  <c r="M342"/>
  <c r="K337"/>
  <c r="O331"/>
  <c r="M326"/>
  <c r="K321"/>
  <c r="O315"/>
  <c r="M310"/>
  <c r="K305"/>
  <c r="O299"/>
  <c r="M294"/>
  <c r="O283"/>
  <c r="K273"/>
  <c r="M262"/>
  <c r="O251"/>
  <c r="K241"/>
  <c r="M230"/>
  <c r="O219"/>
  <c r="K207"/>
  <c r="O185"/>
  <c r="O148"/>
  <c r="K87"/>
  <c r="L401"/>
  <c r="A396"/>
  <c r="N390"/>
  <c r="L385"/>
  <c r="A380"/>
  <c r="N374"/>
  <c r="L369"/>
  <c r="A364"/>
  <c r="N358"/>
  <c r="L353"/>
  <c r="A348"/>
  <c r="N342"/>
  <c r="L337"/>
  <c r="A332"/>
  <c r="N326"/>
  <c r="L321"/>
  <c r="A316"/>
  <c r="N310"/>
  <c r="L305"/>
  <c r="A300"/>
  <c r="N294"/>
  <c r="K284"/>
  <c r="O262"/>
  <c r="M241"/>
  <c r="K220"/>
  <c r="M186"/>
  <c r="O89"/>
  <c r="M473"/>
  <c r="O462"/>
  <c r="K452"/>
  <c r="M441"/>
  <c r="O430"/>
  <c r="K420"/>
  <c r="M409"/>
  <c r="O398"/>
  <c r="K388"/>
  <c r="M377"/>
  <c r="O366"/>
  <c r="O352"/>
  <c r="K338"/>
  <c r="K324"/>
  <c r="K310"/>
  <c r="M295"/>
  <c r="M268"/>
  <c r="M240"/>
  <c r="K211"/>
  <c r="K130"/>
  <c r="A288"/>
  <c r="L273"/>
  <c r="L259"/>
  <c r="L239"/>
  <c r="A182"/>
  <c r="O15"/>
  <c r="K132"/>
  <c r="N269"/>
  <c r="L202"/>
  <c r="M22"/>
  <c r="N106"/>
  <c r="L31"/>
  <c r="M71"/>
  <c r="A165"/>
  <c r="N69"/>
  <c r="A416"/>
  <c r="L434"/>
  <c r="N359"/>
  <c r="A450"/>
  <c r="K209"/>
  <c r="M231"/>
  <c r="O252"/>
  <c r="K274"/>
  <c r="A295"/>
  <c r="N305"/>
  <c r="L316"/>
  <c r="N337"/>
  <c r="A359"/>
  <c r="N369"/>
  <c r="L380"/>
  <c r="A391"/>
  <c r="N401"/>
  <c r="A407"/>
  <c r="L412"/>
  <c r="N417"/>
  <c r="A423"/>
  <c r="L428"/>
  <c r="N433"/>
  <c r="A439"/>
  <c r="L444"/>
  <c r="N449"/>
  <c r="A455"/>
  <c r="L460"/>
  <c r="N465"/>
  <c r="A471"/>
  <c r="L476"/>
  <c r="O477"/>
  <c r="K475"/>
  <c r="M472"/>
  <c r="O469"/>
  <c r="K467"/>
  <c r="M464"/>
  <c r="O461"/>
  <c r="K459"/>
  <c r="M456"/>
  <c r="O453"/>
  <c r="K451"/>
  <c r="M448"/>
  <c r="O445"/>
  <c r="K443"/>
  <c r="M440"/>
  <c r="O437"/>
  <c r="K435"/>
  <c r="M432"/>
  <c r="O429"/>
  <c r="K427"/>
  <c r="M424"/>
  <c r="O421"/>
  <c r="K419"/>
  <c r="M416"/>
  <c r="O413"/>
  <c r="K411"/>
  <c r="M408"/>
  <c r="O405"/>
  <c r="K403"/>
  <c r="M400"/>
  <c r="O397"/>
  <c r="K395"/>
  <c r="M392"/>
  <c r="O389"/>
  <c r="K387"/>
  <c r="M384"/>
  <c r="O381"/>
  <c r="K379"/>
  <c r="M376"/>
  <c r="O373"/>
  <c r="K371"/>
  <c r="M366"/>
  <c r="K361"/>
  <c r="O355"/>
  <c r="M350"/>
  <c r="K345"/>
  <c r="O339"/>
  <c r="M334"/>
  <c r="K329"/>
  <c r="O323"/>
  <c r="M318"/>
  <c r="K313"/>
  <c r="O307"/>
  <c r="M302"/>
  <c r="K297"/>
  <c r="K289"/>
  <c r="M278"/>
  <c r="O267"/>
  <c r="K257"/>
  <c r="M246"/>
  <c r="O235"/>
  <c r="K225"/>
  <c r="M214"/>
  <c r="M196"/>
  <c r="K170"/>
  <c r="M127"/>
  <c r="M44"/>
  <c r="N398"/>
  <c r="L393"/>
  <c r="A388"/>
  <c r="N382"/>
  <c r="L377"/>
  <c r="A372"/>
  <c r="N366"/>
  <c r="L361"/>
  <c r="A356"/>
  <c r="N350"/>
  <c r="L345"/>
  <c r="A340"/>
  <c r="N334"/>
  <c r="L329"/>
  <c r="A324"/>
  <c r="N318"/>
  <c r="L313"/>
  <c r="A308"/>
  <c r="N302"/>
  <c r="L297"/>
  <c r="M289"/>
  <c r="M273"/>
  <c r="K252"/>
  <c r="O230"/>
  <c r="O207"/>
  <c r="K150"/>
  <c r="O478"/>
  <c r="K468"/>
  <c r="M457"/>
  <c r="O446"/>
  <c r="K436"/>
  <c r="M425"/>
  <c r="O414"/>
  <c r="K404"/>
  <c r="M393"/>
  <c r="O382"/>
  <c r="K372"/>
  <c r="M359"/>
  <c r="M345"/>
  <c r="M331"/>
  <c r="O316"/>
  <c r="O302"/>
  <c r="K283"/>
  <c r="O253"/>
  <c r="O225"/>
  <c r="M184"/>
  <c r="O17"/>
  <c r="N280"/>
  <c r="N266"/>
  <c r="A252"/>
  <c r="N210"/>
  <c r="O127"/>
  <c r="K184"/>
  <c r="M24"/>
  <c r="A241"/>
  <c r="M148"/>
  <c r="L145"/>
  <c r="L69"/>
  <c r="O108"/>
  <c r="O32"/>
  <c r="N127"/>
  <c r="N11"/>
  <c r="A13"/>
  <c r="A19"/>
  <c r="N23"/>
  <c r="L28"/>
  <c r="N33"/>
  <c r="N37"/>
  <c r="L42"/>
  <c r="N47"/>
  <c r="L52"/>
  <c r="L56"/>
  <c r="N61"/>
  <c r="L66"/>
  <c r="A71"/>
  <c r="L76"/>
  <c r="L80"/>
  <c r="A85"/>
  <c r="L90"/>
  <c r="A95"/>
  <c r="A99"/>
  <c r="L104"/>
  <c r="A109"/>
  <c r="L112"/>
  <c r="L116"/>
  <c r="N119"/>
  <c r="A123"/>
  <c r="A127"/>
  <c r="L130"/>
  <c r="N133"/>
  <c r="N137"/>
  <c r="A141"/>
  <c r="L144"/>
  <c r="L148"/>
  <c r="N151"/>
  <c r="A155"/>
  <c r="A159"/>
  <c r="L162"/>
  <c r="N165"/>
  <c r="N169"/>
  <c r="A173"/>
  <c r="L176"/>
  <c r="K10"/>
  <c r="M13"/>
  <c r="O16"/>
  <c r="O20"/>
  <c r="K24"/>
  <c r="M27"/>
  <c r="M31"/>
  <c r="O34"/>
  <c r="K38"/>
  <c r="K42"/>
  <c r="M45"/>
  <c r="O48"/>
  <c r="O52"/>
  <c r="K56"/>
  <c r="M59"/>
  <c r="M63"/>
  <c r="O66"/>
  <c r="K70"/>
  <c r="K74"/>
  <c r="M77"/>
  <c r="O80"/>
  <c r="O84"/>
  <c r="K88"/>
  <c r="M91"/>
  <c r="M95"/>
  <c r="O98"/>
  <c r="K102"/>
  <c r="K106"/>
  <c r="M109"/>
  <c r="O112"/>
  <c r="O116"/>
  <c r="K120"/>
  <c r="M123"/>
  <c r="A12"/>
  <c r="L15"/>
  <c r="N18"/>
  <c r="N22"/>
  <c r="A26"/>
  <c r="L29"/>
  <c r="L33"/>
  <c r="N36"/>
  <c r="A40"/>
  <c r="A44"/>
  <c r="L47"/>
  <c r="N50"/>
  <c r="N54"/>
  <c r="A58"/>
  <c r="L61"/>
  <c r="L65"/>
  <c r="N68"/>
  <c r="A72"/>
  <c r="A76"/>
  <c r="L79"/>
  <c r="N82"/>
  <c r="N86"/>
  <c r="A90"/>
  <c r="L93"/>
  <c r="L97"/>
  <c r="N100"/>
  <c r="A104"/>
  <c r="A108"/>
  <c r="L111"/>
  <c r="N114"/>
  <c r="N118"/>
  <c r="A122"/>
  <c r="L125"/>
  <c r="L129"/>
  <c r="N132"/>
  <c r="A136"/>
  <c r="A140"/>
  <c r="L143"/>
  <c r="N146"/>
  <c r="N150"/>
  <c r="A154"/>
  <c r="L157"/>
  <c r="L161"/>
  <c r="N164"/>
  <c r="A168"/>
  <c r="A172"/>
  <c r="L175"/>
  <c r="N178"/>
  <c r="O19"/>
  <c r="K33"/>
  <c r="M46"/>
  <c r="M62"/>
  <c r="O75"/>
  <c r="K89"/>
  <c r="K105"/>
  <c r="M118"/>
  <c r="M128"/>
  <c r="M136"/>
  <c r="K143"/>
  <c r="O149"/>
  <c r="O157"/>
  <c r="M164"/>
  <c r="K171"/>
  <c r="K179"/>
  <c r="A183"/>
  <c r="L186"/>
  <c r="L190"/>
  <c r="N193"/>
  <c r="A197"/>
  <c r="A201"/>
  <c r="L204"/>
  <c r="N207"/>
  <c r="N211"/>
  <c r="A215"/>
  <c r="L218"/>
  <c r="L222"/>
  <c r="N225"/>
  <c r="A229"/>
  <c r="A233"/>
  <c r="L236"/>
  <c r="N239"/>
  <c r="N243"/>
  <c r="L246"/>
  <c r="A249"/>
  <c r="N251"/>
  <c r="L254"/>
  <c r="A257"/>
  <c r="N259"/>
  <c r="L262"/>
  <c r="A265"/>
  <c r="N267"/>
  <c r="L270"/>
  <c r="A273"/>
  <c r="N275"/>
  <c r="L278"/>
  <c r="A281"/>
  <c r="N283"/>
  <c r="L286"/>
  <c r="A289"/>
  <c r="N291"/>
  <c r="L294"/>
  <c r="K19"/>
  <c r="O29"/>
  <c r="M40"/>
  <c r="K51"/>
  <c r="O61"/>
  <c r="M72"/>
  <c r="K83"/>
  <c r="O93"/>
  <c r="M104"/>
  <c r="K115"/>
  <c r="M125"/>
  <c r="O130"/>
  <c r="K136"/>
  <c r="M141"/>
  <c r="O146"/>
  <c r="K152"/>
  <c r="M157"/>
  <c r="O162"/>
  <c r="K168"/>
  <c r="M173"/>
  <c r="O178"/>
  <c r="K182"/>
  <c r="O184"/>
  <c r="M187"/>
  <c r="K190"/>
  <c r="O192"/>
  <c r="M195"/>
  <c r="K198"/>
  <c r="O200"/>
  <c r="M203"/>
  <c r="K206"/>
  <c r="O208"/>
  <c r="M10"/>
  <c r="K21"/>
  <c r="O31"/>
  <c r="M42"/>
  <c r="K53"/>
  <c r="O63"/>
  <c r="M74"/>
  <c r="K85"/>
  <c r="O95"/>
  <c r="M106"/>
  <c r="K117"/>
  <c r="M126"/>
  <c r="O131"/>
  <c r="K137"/>
  <c r="M142"/>
  <c r="O147"/>
  <c r="K153"/>
  <c r="M158"/>
  <c r="O163"/>
  <c r="K169"/>
  <c r="M174"/>
  <c r="O179"/>
  <c r="N182"/>
  <c r="L185"/>
  <c r="A188"/>
  <c r="N190"/>
  <c r="L193"/>
  <c r="A196"/>
  <c r="N198"/>
  <c r="L201"/>
  <c r="A204"/>
  <c r="N206"/>
  <c r="L209"/>
  <c r="A212"/>
  <c r="N214"/>
  <c r="L217"/>
  <c r="A220"/>
  <c r="N222"/>
  <c r="L225"/>
  <c r="A228"/>
  <c r="N230"/>
  <c r="L233"/>
  <c r="A236"/>
  <c r="N238"/>
  <c r="L241"/>
  <c r="A244"/>
  <c r="M35" i="10"/>
  <c r="M70"/>
  <c r="P78" i="4"/>
  <c r="M146" i="1"/>
  <c r="P84" i="3"/>
  <c r="K103" s="1"/>
  <c r="L114" i="17"/>
  <c r="N109"/>
  <c r="A103"/>
  <c r="N97"/>
  <c r="A91"/>
  <c r="L84"/>
  <c r="N77"/>
  <c r="L72"/>
  <c r="N65"/>
  <c r="A59"/>
  <c r="A53"/>
  <c r="N45"/>
  <c r="L40"/>
  <c r="L34"/>
  <c r="A27"/>
  <c r="A21"/>
  <c r="N13"/>
  <c r="I41" i="12"/>
  <c r="R220" i="2"/>
  <c r="P91" i="9"/>
  <c r="K90" s="1"/>
  <c r="A107" i="17"/>
  <c r="N103"/>
  <c r="L100"/>
  <c r="L96"/>
  <c r="A93"/>
  <c r="N89"/>
  <c r="N85"/>
  <c r="L82"/>
  <c r="A79"/>
  <c r="A75"/>
  <c r="N71"/>
  <c r="L68"/>
  <c r="L64"/>
  <c r="A61"/>
  <c r="N57"/>
  <c r="N53"/>
  <c r="L50"/>
  <c r="A47"/>
  <c r="A43"/>
  <c r="N39"/>
  <c r="L36"/>
  <c r="L32"/>
  <c r="A29"/>
  <c r="N25"/>
  <c r="N21"/>
  <c r="L18"/>
  <c r="A15"/>
  <c r="A11"/>
  <c r="N15"/>
  <c r="L12"/>
  <c r="A243"/>
  <c r="L240"/>
  <c r="N237"/>
  <c r="A235"/>
  <c r="L232"/>
  <c r="N229"/>
  <c r="A227"/>
  <c r="L224"/>
  <c r="N221"/>
  <c r="A219"/>
  <c r="L216"/>
  <c r="N213"/>
  <c r="A211"/>
  <c r="L208"/>
  <c r="N205"/>
  <c r="A203"/>
  <c r="L200"/>
  <c r="N197"/>
  <c r="A195"/>
  <c r="L192"/>
  <c r="N189"/>
  <c r="A187"/>
  <c r="L184"/>
  <c r="N181"/>
  <c r="O177"/>
  <c r="M172"/>
  <c r="K167"/>
  <c r="O161"/>
  <c r="M156"/>
  <c r="K151"/>
  <c r="O145"/>
  <c r="M140"/>
  <c r="K135"/>
  <c r="O129"/>
  <c r="O123"/>
  <c r="K113"/>
  <c r="M102"/>
  <c r="O91"/>
  <c r="K81"/>
  <c r="M70"/>
  <c r="O59"/>
  <c r="K49"/>
  <c r="M38"/>
  <c r="O27"/>
  <c r="K17"/>
  <c r="L179"/>
  <c r="N176"/>
  <c r="A174"/>
  <c r="L171"/>
  <c r="N168"/>
  <c r="A166"/>
  <c r="L163"/>
  <c r="N160"/>
  <c r="A158"/>
  <c r="L155"/>
  <c r="N152"/>
  <c r="A150"/>
  <c r="L147"/>
  <c r="N144"/>
  <c r="A142"/>
  <c r="L139"/>
  <c r="N136"/>
  <c r="A134"/>
  <c r="L131"/>
  <c r="N128"/>
  <c r="A126"/>
  <c r="L123"/>
  <c r="N120"/>
  <c r="A118"/>
  <c r="L115"/>
  <c r="N112"/>
  <c r="A110"/>
  <c r="L107"/>
  <c r="N104"/>
  <c r="A102"/>
  <c r="L99"/>
  <c r="N96"/>
  <c r="A94"/>
  <c r="L91"/>
  <c r="N88"/>
  <c r="A86"/>
  <c r="L83"/>
  <c r="N80"/>
  <c r="A78"/>
  <c r="L75"/>
  <c r="N72"/>
  <c r="A70"/>
  <c r="L67"/>
  <c r="N64"/>
  <c r="A62"/>
  <c r="L59"/>
  <c r="N56"/>
  <c r="A54"/>
  <c r="L51"/>
  <c r="N48"/>
  <c r="A46"/>
  <c r="L43"/>
  <c r="N40"/>
  <c r="A38"/>
  <c r="L35"/>
  <c r="N32"/>
  <c r="A30"/>
  <c r="L27"/>
  <c r="N24"/>
  <c r="A22"/>
  <c r="L19"/>
  <c r="N16"/>
  <c r="A14"/>
  <c r="L11"/>
  <c r="K124"/>
  <c r="M121"/>
  <c r="O118"/>
  <c r="K116"/>
  <c r="M113"/>
  <c r="O110"/>
  <c r="K108"/>
  <c r="M105"/>
  <c r="O102"/>
  <c r="K100"/>
  <c r="M97"/>
  <c r="O94"/>
  <c r="K92"/>
  <c r="M89"/>
  <c r="O86"/>
  <c r="K84"/>
  <c r="M81"/>
  <c r="O78"/>
  <c r="K76"/>
  <c r="M73"/>
  <c r="O70"/>
  <c r="K68"/>
  <c r="M65"/>
  <c r="O62"/>
  <c r="K60"/>
  <c r="M57"/>
  <c r="O54"/>
  <c r="K52"/>
  <c r="M49"/>
  <c r="O46"/>
  <c r="K44"/>
  <c r="M41"/>
  <c r="O38"/>
  <c r="K36"/>
  <c r="M33"/>
  <c r="O30"/>
  <c r="K28"/>
  <c r="M25"/>
  <c r="O22"/>
  <c r="K20"/>
  <c r="M17"/>
  <c r="O14"/>
  <c r="K12"/>
  <c r="N179"/>
  <c r="A177"/>
  <c r="L174"/>
  <c r="N171"/>
  <c r="A169"/>
  <c r="L166"/>
  <c r="N163"/>
  <c r="A161"/>
  <c r="L158"/>
  <c r="N155"/>
  <c r="A153"/>
  <c r="L150"/>
  <c r="N147"/>
  <c r="A145"/>
  <c r="L142"/>
  <c r="N139"/>
  <c r="A137"/>
  <c r="L134"/>
  <c r="N131"/>
  <c r="A129"/>
  <c r="L126"/>
  <c r="N123"/>
  <c r="A121"/>
  <c r="L118"/>
  <c r="N115"/>
  <c r="A113"/>
  <c r="L110"/>
  <c r="N107"/>
  <c r="A105"/>
  <c r="L102"/>
  <c r="N99"/>
  <c r="A97"/>
  <c r="L94"/>
  <c r="N91"/>
  <c r="A89"/>
  <c r="L86"/>
  <c r="N83"/>
  <c r="A81"/>
  <c r="L78"/>
  <c r="N75"/>
  <c r="A73"/>
  <c r="L70"/>
  <c r="N67"/>
  <c r="A65"/>
  <c r="L62"/>
  <c r="N59"/>
  <c r="A57"/>
  <c r="L54"/>
  <c r="N51"/>
  <c r="A49"/>
  <c r="L46"/>
  <c r="N43"/>
  <c r="A41"/>
  <c r="L38"/>
  <c r="N35"/>
  <c r="A33"/>
  <c r="L30"/>
  <c r="N27"/>
  <c r="A25"/>
  <c r="L22"/>
  <c r="N19"/>
  <c r="A17"/>
  <c r="L14"/>
  <c r="M54" i="18"/>
  <c r="M19"/>
  <c r="O18"/>
  <c r="M51" s="1"/>
  <c r="K107" i="4"/>
  <c r="K126" i="9"/>
  <c r="T34" i="1"/>
  <c r="N34"/>
  <c r="U34"/>
  <c r="T22"/>
  <c r="U4"/>
  <c r="N22"/>
  <c r="N31"/>
  <c r="U31" s="1"/>
  <c r="T31"/>
  <c r="T159"/>
  <c r="L158"/>
  <c r="U5"/>
  <c r="T28"/>
  <c r="N28"/>
  <c r="U28" s="1"/>
  <c r="Q36" i="7"/>
  <c r="AU36"/>
  <c r="J37" i="1"/>
  <c r="T37" s="1"/>
  <c r="AQ36" i="7"/>
  <c r="AU34"/>
  <c r="O34"/>
  <c r="T40" i="1"/>
  <c r="N40"/>
  <c r="U40" s="1"/>
  <c r="AO28" i="7"/>
  <c r="V4" i="1"/>
  <c r="U22"/>
  <c r="AS34" i="7"/>
  <c r="O40"/>
  <c r="V5" i="1"/>
  <c r="AS40" i="7"/>
  <c r="M40"/>
  <c r="AQ40"/>
  <c r="J43" i="1"/>
  <c r="N43" s="1"/>
  <c r="U43" s="1"/>
  <c r="N142"/>
  <c r="T145" s="1"/>
  <c r="K60" i="18"/>
  <c r="M14"/>
  <c r="P48" i="13"/>
  <c r="N48" s="1"/>
  <c r="P33"/>
  <c r="N33" s="1"/>
  <c r="Q48" i="2"/>
  <c r="O220"/>
  <c r="K220" s="1"/>
  <c r="M40" i="18"/>
  <c r="I40" s="1"/>
  <c r="I48" i="8" l="1"/>
  <c r="I56"/>
  <c r="I47"/>
  <c r="I55"/>
  <c r="I46"/>
  <c r="I54"/>
  <c r="I45"/>
  <c r="I53"/>
  <c r="I44"/>
  <c r="I52"/>
  <c r="I43"/>
  <c r="I51"/>
  <c r="I50"/>
  <c r="I58"/>
  <c r="I49"/>
  <c r="I57"/>
  <c r="T43" i="1"/>
  <c r="M367" i="17"/>
  <c r="K346"/>
  <c r="O328"/>
  <c r="O310"/>
  <c r="M284"/>
  <c r="M248"/>
  <c r="O213"/>
  <c r="K39"/>
  <c r="A278"/>
  <c r="A260"/>
  <c r="A214"/>
  <c r="O87"/>
  <c r="O138"/>
  <c r="A245"/>
  <c r="I17" i="16" s="1"/>
  <c r="M36" i="13" s="1"/>
  <c r="O115" i="17"/>
  <c r="A112"/>
  <c r="K114"/>
  <c r="O18"/>
  <c r="N79"/>
  <c r="O354"/>
  <c r="M341"/>
  <c r="K328"/>
  <c r="K312"/>
  <c r="O298"/>
  <c r="M276"/>
  <c r="M244"/>
  <c r="O217"/>
  <c r="K162"/>
  <c r="A290"/>
  <c r="N276"/>
  <c r="L263"/>
  <c r="L247"/>
  <c r="A230"/>
  <c r="N212"/>
  <c r="L191"/>
  <c r="M166"/>
  <c r="M130"/>
  <c r="M50"/>
  <c r="K204"/>
  <c r="K186"/>
  <c r="M149"/>
  <c r="O101"/>
  <c r="M32"/>
  <c r="A279"/>
  <c r="A261"/>
  <c r="L242"/>
  <c r="L214"/>
  <c r="A191"/>
  <c r="O153"/>
  <c r="O67"/>
  <c r="N170"/>
  <c r="A148"/>
  <c r="L119"/>
  <c r="L95"/>
  <c r="L71"/>
  <c r="N42"/>
  <c r="A20"/>
  <c r="M111"/>
  <c r="O82"/>
  <c r="O58"/>
  <c r="M35"/>
  <c r="N177"/>
  <c r="N153"/>
  <c r="N129"/>
  <c r="L92"/>
  <c r="N49"/>
  <c r="N250"/>
  <c r="L231"/>
  <c r="L213"/>
  <c r="L195"/>
  <c r="O167"/>
  <c r="K133"/>
  <c r="K69"/>
  <c r="O204"/>
  <c r="O186"/>
  <c r="O158"/>
  <c r="K107"/>
  <c r="K35"/>
  <c r="A283"/>
  <c r="N261"/>
  <c r="L244"/>
  <c r="L220"/>
  <c r="N191"/>
  <c r="K155"/>
  <c r="M94"/>
  <c r="N172"/>
  <c r="N148"/>
  <c r="N124"/>
  <c r="A96"/>
  <c r="L73"/>
  <c r="L49"/>
  <c r="N20"/>
  <c r="K112"/>
  <c r="O88"/>
  <c r="O60"/>
  <c r="O36"/>
  <c r="O12"/>
  <c r="L154"/>
  <c r="A131"/>
  <c r="N101"/>
  <c r="A51"/>
  <c r="A240"/>
  <c r="A222"/>
  <c r="N200"/>
  <c r="L183"/>
  <c r="M150"/>
  <c r="M90"/>
  <c r="M18"/>
  <c r="K196"/>
  <c r="M169"/>
  <c r="M133"/>
  <c r="O69"/>
  <c r="L288"/>
  <c r="A271"/>
  <c r="A253"/>
  <c r="N227"/>
  <c r="N203"/>
  <c r="O169"/>
  <c r="K121"/>
  <c r="K25"/>
  <c r="A156"/>
  <c r="A132"/>
  <c r="N108"/>
  <c r="A80"/>
  <c r="A56"/>
  <c r="A32"/>
  <c r="M119"/>
  <c r="K96"/>
  <c r="K72"/>
  <c r="M43"/>
  <c r="M19"/>
  <c r="A167"/>
  <c r="L138"/>
  <c r="N113"/>
  <c r="N73"/>
  <c r="A23"/>
  <c r="O156"/>
  <c r="O128"/>
  <c r="L391"/>
  <c r="K327"/>
  <c r="M402"/>
  <c r="M466"/>
  <c r="A403"/>
  <c r="N472"/>
  <c r="O280"/>
  <c r="L414"/>
  <c r="N470"/>
  <c r="O272"/>
  <c r="L291"/>
  <c r="K476"/>
  <c r="A386"/>
  <c r="O321"/>
  <c r="O399"/>
  <c r="O463"/>
  <c r="L408"/>
  <c r="A478"/>
  <c r="L298"/>
  <c r="A395"/>
  <c r="N454"/>
  <c r="M206"/>
  <c r="K219"/>
  <c r="K197"/>
  <c r="N396"/>
  <c r="M332"/>
  <c r="K405"/>
  <c r="K469"/>
  <c r="A351"/>
  <c r="N424"/>
  <c r="A473"/>
  <c r="A331"/>
  <c r="N422"/>
  <c r="K14"/>
  <c r="O337"/>
  <c r="N440"/>
  <c r="O71"/>
  <c r="M450"/>
  <c r="A425"/>
  <c r="O407"/>
  <c r="K230"/>
  <c r="E56" i="8"/>
  <c r="M56" s="1"/>
  <c r="E57"/>
  <c r="M57" s="1"/>
  <c r="E47"/>
  <c r="M47" s="1"/>
  <c r="L417" i="17"/>
  <c r="N316"/>
  <c r="K54" i="8"/>
  <c r="K46"/>
  <c r="K53"/>
  <c r="K45"/>
  <c r="AA40" i="7"/>
  <c r="N37" i="1"/>
  <c r="U37" s="1"/>
  <c r="K370" i="17"/>
  <c r="M353"/>
  <c r="K332"/>
  <c r="K314"/>
  <c r="O296"/>
  <c r="M256"/>
  <c r="M220"/>
  <c r="M135"/>
  <c r="L281"/>
  <c r="A264"/>
  <c r="N242"/>
  <c r="M134"/>
  <c r="O166"/>
  <c r="N273"/>
  <c r="K159"/>
  <c r="N130"/>
  <c r="A36"/>
  <c r="M37"/>
  <c r="N111"/>
  <c r="K360"/>
  <c r="K344"/>
  <c r="O330"/>
  <c r="M317"/>
  <c r="M301"/>
  <c r="O281"/>
  <c r="K255"/>
  <c r="K223"/>
  <c r="O181"/>
  <c r="M28"/>
  <c r="L279"/>
  <c r="A266"/>
  <c r="N252"/>
  <c r="A234"/>
  <c r="A216"/>
  <c r="A198"/>
  <c r="K173"/>
  <c r="M138"/>
  <c r="O79"/>
  <c r="M207"/>
  <c r="M189"/>
  <c r="K164"/>
  <c r="O117"/>
  <c r="O45"/>
  <c r="N285"/>
  <c r="L264"/>
  <c r="A247"/>
  <c r="N223"/>
  <c r="N195"/>
  <c r="K163"/>
  <c r="O107"/>
  <c r="A176"/>
  <c r="A152"/>
  <c r="A128"/>
  <c r="A100"/>
  <c r="N76"/>
  <c r="N52"/>
  <c r="A24"/>
  <c r="M115"/>
  <c r="O92"/>
  <c r="K64"/>
  <c r="K40"/>
  <c r="K16"/>
  <c r="N157"/>
  <c r="A135"/>
  <c r="L108"/>
  <c r="L58"/>
  <c r="L16"/>
  <c r="A238"/>
  <c r="N216"/>
  <c r="L199"/>
  <c r="L181"/>
  <c r="O139"/>
  <c r="M82"/>
  <c r="K13"/>
  <c r="O190"/>
  <c r="M165"/>
  <c r="M129"/>
  <c r="M48"/>
  <c r="A287"/>
  <c r="A269"/>
  <c r="N247"/>
  <c r="A225"/>
  <c r="N201"/>
  <c r="O165"/>
  <c r="M110"/>
  <c r="M14"/>
  <c r="L153"/>
  <c r="A130"/>
  <c r="A106"/>
  <c r="L77"/>
  <c r="L53"/>
  <c r="N30"/>
  <c r="M117"/>
  <c r="M93"/>
  <c r="M69"/>
  <c r="O40"/>
  <c r="K18"/>
  <c r="L164"/>
  <c r="N135"/>
  <c r="A111"/>
  <c r="A69"/>
  <c r="N17"/>
  <c r="A226"/>
  <c r="A208"/>
  <c r="N186"/>
  <c r="K157"/>
  <c r="O119"/>
  <c r="M34"/>
  <c r="M199"/>
  <c r="M181"/>
  <c r="K140"/>
  <c r="O85"/>
  <c r="O13"/>
  <c r="L274"/>
  <c r="L256"/>
  <c r="N231"/>
  <c r="A209"/>
  <c r="A185"/>
  <c r="M132"/>
  <c r="O43"/>
  <c r="L165"/>
  <c r="L137"/>
  <c r="L113"/>
  <c r="L89"/>
  <c r="N60"/>
  <c r="L37"/>
  <c r="L13"/>
  <c r="O100"/>
  <c r="O76"/>
  <c r="M53"/>
  <c r="O24"/>
  <c r="A171"/>
  <c r="A147"/>
  <c r="A119"/>
  <c r="N81"/>
  <c r="A39"/>
  <c r="N246"/>
  <c r="K444"/>
  <c r="N348"/>
  <c r="O305"/>
  <c r="O391"/>
  <c r="K445"/>
  <c r="L424"/>
  <c r="M52"/>
  <c r="A373"/>
  <c r="N435"/>
  <c r="K218"/>
  <c r="A369"/>
  <c r="N196"/>
  <c r="M433"/>
  <c r="L343"/>
  <c r="M300"/>
  <c r="K389"/>
  <c r="M442"/>
  <c r="N429"/>
  <c r="K174"/>
  <c r="N383"/>
  <c r="N419"/>
  <c r="A476"/>
  <c r="A337"/>
  <c r="N262"/>
  <c r="O454"/>
  <c r="A354"/>
  <c r="K311"/>
  <c r="M394"/>
  <c r="O447"/>
  <c r="N393"/>
  <c r="A446"/>
  <c r="M259"/>
  <c r="N373"/>
  <c r="A444"/>
  <c r="M251"/>
  <c r="O209"/>
  <c r="M215"/>
  <c r="A460"/>
  <c r="M386"/>
  <c r="K238"/>
  <c r="L295"/>
  <c r="O260"/>
  <c r="L320"/>
  <c r="E46" i="8"/>
  <c r="M46" s="1"/>
  <c r="L390" i="17"/>
  <c r="M418"/>
  <c r="K58" i="8"/>
  <c r="K48"/>
  <c r="K55"/>
  <c r="C11"/>
  <c r="D11" s="1"/>
  <c r="P24" i="13"/>
  <c r="N24" s="1"/>
  <c r="N39" i="16"/>
  <c r="Q19" s="1"/>
  <c r="K25" s="1"/>
  <c r="L25"/>
  <c r="X40"/>
  <c r="S40"/>
  <c r="U40" s="1"/>
  <c r="V40" s="1"/>
  <c r="N40" s="1"/>
  <c r="Q17"/>
  <c r="P36" i="13" s="1"/>
  <c r="O60" s="1"/>
  <c r="K60" s="1"/>
  <c r="X43" i="16"/>
  <c r="X39"/>
  <c r="X44" s="1"/>
  <c r="O428" i="17"/>
  <c r="K418"/>
  <c r="M407"/>
  <c r="O396"/>
  <c r="K386"/>
  <c r="M375"/>
  <c r="K364"/>
  <c r="K350"/>
  <c r="M335"/>
  <c r="M321"/>
  <c r="M307"/>
  <c r="K291"/>
  <c r="K263"/>
  <c r="K235"/>
  <c r="M200"/>
  <c r="M92"/>
  <c r="L285"/>
  <c r="N270"/>
  <c r="N256"/>
  <c r="N228"/>
  <c r="M162"/>
  <c r="K202"/>
  <c r="M96"/>
  <c r="A259"/>
  <c r="L188"/>
  <c r="L169"/>
  <c r="N92"/>
  <c r="L17"/>
  <c r="O56"/>
  <c r="A151"/>
  <c r="A45"/>
  <c r="M357"/>
  <c r="O346"/>
  <c r="K336"/>
  <c r="M325"/>
  <c r="O314"/>
  <c r="K304"/>
  <c r="M292"/>
  <c r="K271"/>
  <c r="O249"/>
  <c r="M228"/>
  <c r="K203"/>
  <c r="O140"/>
  <c r="N292"/>
  <c r="A282"/>
  <c r="L271"/>
  <c r="N260"/>
  <c r="A250"/>
  <c r="L237"/>
  <c r="L223"/>
  <c r="N208"/>
  <c r="N194"/>
  <c r="N180"/>
  <c r="O151"/>
  <c r="M122"/>
  <c r="M66"/>
  <c r="O210"/>
  <c r="O196"/>
  <c r="O182"/>
  <c r="K156"/>
  <c r="K128"/>
  <c r="K75"/>
  <c r="M16"/>
  <c r="L282"/>
  <c r="L268"/>
  <c r="N253"/>
  <c r="L238"/>
  <c r="N219"/>
  <c r="N199"/>
  <c r="A181"/>
  <c r="M144"/>
  <c r="M86"/>
  <c r="O11"/>
  <c r="A162"/>
  <c r="N142"/>
  <c r="A124"/>
  <c r="L105"/>
  <c r="L85"/>
  <c r="N66"/>
  <c r="A48"/>
  <c r="N28"/>
  <c r="A10"/>
  <c r="O106"/>
  <c r="M87"/>
  <c r="O68"/>
  <c r="K50"/>
  <c r="K30"/>
  <c r="M11"/>
  <c r="A163"/>
  <c r="N143"/>
  <c r="A125"/>
  <c r="A101"/>
  <c r="A67"/>
  <c r="N31"/>
  <c r="A248"/>
  <c r="N234"/>
  <c r="N220"/>
  <c r="A206"/>
  <c r="A192"/>
  <c r="O175"/>
  <c r="M146"/>
  <c r="O111"/>
  <c r="O55"/>
  <c r="K208"/>
  <c r="K194"/>
  <c r="K180"/>
  <c r="O150"/>
  <c r="M120"/>
  <c r="M64"/>
  <c r="N293"/>
  <c r="N279"/>
  <c r="N265"/>
  <c r="A251"/>
  <c r="L234"/>
  <c r="N215"/>
  <c r="L196"/>
  <c r="K175"/>
  <c r="O137"/>
  <c r="K73"/>
  <c r="L177"/>
  <c r="N158"/>
  <c r="N138"/>
  <c r="A120"/>
  <c r="L101"/>
  <c r="A82"/>
  <c r="L63"/>
  <c r="N44"/>
  <c r="L25"/>
  <c r="K122"/>
  <c r="M103"/>
  <c r="M83"/>
  <c r="O64"/>
  <c r="K46"/>
  <c r="O26"/>
  <c r="L178"/>
  <c r="N159"/>
  <c r="L140"/>
  <c r="N121"/>
  <c r="N93"/>
  <c r="L60"/>
  <c r="L26"/>
  <c r="N232"/>
  <c r="N218"/>
  <c r="N204"/>
  <c r="A190"/>
  <c r="O171"/>
  <c r="O143"/>
  <c r="O103"/>
  <c r="O47"/>
  <c r="O206"/>
  <c r="K192"/>
  <c r="K176"/>
  <c r="K148"/>
  <c r="M112"/>
  <c r="M56"/>
  <c r="L292"/>
  <c r="N277"/>
  <c r="N263"/>
  <c r="N249"/>
  <c r="A237"/>
  <c r="N217"/>
  <c r="A199"/>
  <c r="L180"/>
  <c r="O141"/>
  <c r="O83"/>
  <c r="A180"/>
  <c r="A160"/>
  <c r="L141"/>
  <c r="N122"/>
  <c r="L103"/>
  <c r="N84"/>
  <c r="A66"/>
  <c r="N46"/>
  <c r="A28"/>
  <c r="O124"/>
  <c r="O104"/>
  <c r="K86"/>
  <c r="M67"/>
  <c r="K48"/>
  <c r="M29"/>
  <c r="O10"/>
  <c r="N161"/>
  <c r="A143"/>
  <c r="L124"/>
  <c r="L98"/>
  <c r="N63"/>
  <c r="A31"/>
  <c r="L284"/>
  <c r="K356"/>
  <c r="K268"/>
  <c r="A370"/>
  <c r="M274"/>
  <c r="O369"/>
  <c r="K413"/>
  <c r="O455"/>
  <c r="N445"/>
  <c r="A319"/>
  <c r="L451"/>
  <c r="L330"/>
  <c r="A457"/>
  <c r="N341"/>
  <c r="L449"/>
  <c r="L326"/>
  <c r="A221"/>
  <c r="K342"/>
  <c r="O246"/>
  <c r="N364"/>
  <c r="O263"/>
  <c r="M364"/>
  <c r="M410"/>
  <c r="K453"/>
  <c r="A451"/>
  <c r="N329"/>
  <c r="N456"/>
  <c r="A341"/>
  <c r="A441"/>
  <c r="N309"/>
  <c r="L433"/>
  <c r="K294"/>
  <c r="K160"/>
  <c r="M369"/>
  <c r="M285"/>
  <c r="L375"/>
  <c r="K285"/>
  <c r="K373"/>
  <c r="O415"/>
  <c r="M458"/>
  <c r="A419"/>
  <c r="O236"/>
  <c r="L403"/>
  <c r="K63"/>
  <c r="A409"/>
  <c r="M182"/>
  <c r="A401"/>
  <c r="K97"/>
  <c r="A338"/>
  <c r="O439"/>
  <c r="A309"/>
  <c r="N347"/>
  <c r="K295"/>
  <c r="L340"/>
  <c r="O73"/>
  <c r="K253"/>
  <c r="L419"/>
  <c r="N380"/>
  <c r="L446"/>
  <c r="K359"/>
  <c r="G51" i="8"/>
  <c r="G43"/>
  <c r="G52"/>
  <c r="G53"/>
  <c r="G45"/>
  <c r="G54"/>
  <c r="G46"/>
  <c r="G44"/>
  <c r="G55"/>
  <c r="G47"/>
  <c r="G56"/>
  <c r="G48"/>
  <c r="G57"/>
  <c r="G49"/>
  <c r="G58"/>
  <c r="G50"/>
  <c r="L57"/>
  <c r="L44"/>
  <c r="L52"/>
  <c r="L43"/>
  <c r="L45"/>
  <c r="L55"/>
  <c r="L50"/>
  <c r="L58"/>
  <c r="L49"/>
  <c r="L47"/>
  <c r="L48"/>
  <c r="L56"/>
  <c r="L51"/>
  <c r="L53"/>
  <c r="L46"/>
  <c r="L54"/>
  <c r="B14"/>
  <c r="D14" s="1"/>
  <c r="H14" s="1"/>
  <c r="P45" i="13"/>
  <c r="P42"/>
  <c r="N42" s="1"/>
  <c r="P39"/>
  <c r="N39" s="1"/>
  <c r="M63" i="11"/>
  <c r="E52" i="8"/>
  <c r="M52" s="1"/>
  <c r="E53"/>
  <c r="M53" s="1"/>
  <c r="E49"/>
  <c r="M49" s="1"/>
  <c r="E45"/>
  <c r="M45" s="1"/>
  <c r="N403" i="17"/>
  <c r="L394"/>
  <c r="A435"/>
  <c r="K429"/>
  <c r="M12"/>
  <c r="A50"/>
  <c r="N67" i="1"/>
  <c r="U67" s="1"/>
  <c r="E58" i="8"/>
  <c r="E48"/>
  <c r="N438" i="17"/>
  <c r="N351"/>
  <c r="N297"/>
  <c r="K461"/>
  <c r="M316"/>
  <c r="K83" i="3"/>
  <c r="K260" i="2"/>
  <c r="X7" i="10"/>
  <c r="M57" i="18"/>
  <c r="K78" i="4"/>
  <c r="P15" i="13"/>
  <c r="N15" s="1"/>
  <c r="T152" i="1"/>
  <c r="L142"/>
  <c r="O61" i="13"/>
  <c r="K61" s="1"/>
  <c r="N45"/>
  <c r="M58" i="8" l="1"/>
  <c r="M48"/>
  <c r="M54"/>
  <c r="M55"/>
  <c r="M51"/>
  <c r="F31"/>
  <c r="AG77" i="7"/>
  <c r="M50" i="8"/>
  <c r="K21" i="13"/>
  <c r="M13" i="18"/>
  <c r="P21" i="13" s="1"/>
  <c r="T28" i="7" l="1"/>
  <c r="AJ63"/>
  <c r="M59" i="8"/>
  <c r="N21" i="13"/>
  <c r="O45" i="8" l="1"/>
  <c r="N45" s="1"/>
  <c r="O49"/>
  <c r="N49" s="1"/>
  <c r="O53"/>
  <c r="N53" s="1"/>
  <c r="O52"/>
  <c r="N52" s="1"/>
  <c r="O56"/>
  <c r="N56" s="1"/>
  <c r="O57"/>
  <c r="N57" s="1"/>
  <c r="O46"/>
  <c r="N46" s="1"/>
  <c r="O43"/>
  <c r="N43" s="1"/>
  <c r="O47"/>
  <c r="N47" s="1"/>
  <c r="O51"/>
  <c r="N51" s="1"/>
  <c r="O55"/>
  <c r="N55" s="1"/>
  <c r="O50"/>
  <c r="N50" s="1"/>
  <c r="O54"/>
  <c r="N54" s="1"/>
  <c r="O58"/>
  <c r="N58" s="1"/>
  <c r="O44"/>
  <c r="N44" s="1"/>
  <c r="O48"/>
  <c r="N48" s="1"/>
  <c r="Q20" i="7"/>
  <c r="O22"/>
  <c r="K24"/>
  <c r="K18"/>
  <c r="AU20" l="1"/>
  <c r="Q38"/>
  <c r="AU38" s="1"/>
  <c r="K38"/>
  <c r="AO38" s="1"/>
  <c r="K20"/>
  <c r="M38"/>
  <c r="AQ38" s="1"/>
  <c r="J19" i="1" s="1"/>
  <c r="P54" i="8"/>
  <c r="Q54" s="1"/>
  <c r="P47"/>
  <c r="Q47" s="1"/>
  <c r="P56"/>
  <c r="Q56" s="1"/>
  <c r="P45"/>
  <c r="Q45" s="1"/>
  <c r="P58"/>
  <c r="Q58" s="1"/>
  <c r="P57"/>
  <c r="Q57"/>
  <c r="P49"/>
  <c r="Q49" s="1"/>
  <c r="P51"/>
  <c r="Q51" s="1"/>
  <c r="M24" i="7"/>
  <c r="AQ24" s="1"/>
  <c r="O24"/>
  <c r="H65"/>
  <c r="AO24"/>
  <c r="P44" i="8"/>
  <c r="Q44" s="1"/>
  <c r="P55"/>
  <c r="Q55" s="1"/>
  <c r="P46"/>
  <c r="Q46" s="1"/>
  <c r="P53"/>
  <c r="Q53" s="1"/>
  <c r="M22" i="7"/>
  <c r="AQ22" s="1"/>
  <c r="AS22"/>
  <c r="J13" i="1" s="1"/>
  <c r="Q22" i="7"/>
  <c r="AU22" s="1"/>
  <c r="H64"/>
  <c r="M18"/>
  <c r="AO18"/>
  <c r="P48" i="8"/>
  <c r="Q48" s="1"/>
  <c r="P50"/>
  <c r="Q50"/>
  <c r="P43"/>
  <c r="Q43" s="1"/>
  <c r="Q59" s="1"/>
  <c r="R59" s="1"/>
  <c r="P52"/>
  <c r="Q52" s="1"/>
  <c r="S59" l="1"/>
  <c r="T59" s="1"/>
  <c r="T19" i="1"/>
  <c r="N19"/>
  <c r="U19" s="1"/>
  <c r="AQ18" i="7"/>
  <c r="J7" i="1" s="1"/>
  <c r="H60" i="7"/>
  <c r="N13" i="1"/>
  <c r="U13" s="1"/>
  <c r="P54" i="13" s="1"/>
  <c r="N54" s="1"/>
  <c r="T13" i="1"/>
  <c r="K54" i="13" s="1"/>
  <c r="Q24" i="7"/>
  <c r="AU24" s="1"/>
  <c r="J16" i="1" s="1"/>
  <c r="AS24" i="7"/>
  <c r="AO20"/>
  <c r="M20"/>
  <c r="AQ20" l="1"/>
  <c r="J10" i="1" s="1"/>
  <c r="H63" i="7"/>
  <c r="U6" i="1"/>
  <c r="T16"/>
  <c r="N16"/>
  <c r="N7"/>
  <c r="T7"/>
  <c r="U7" l="1"/>
  <c r="V6"/>
  <c r="U16"/>
  <c r="N10"/>
  <c r="U10" s="1"/>
  <c r="T10"/>
  <c r="K57" i="13" s="1"/>
  <c r="N25" i="1" l="1"/>
  <c r="U25" s="1"/>
  <c r="P57" i="13"/>
  <c r="N57" s="1"/>
</calcChain>
</file>

<file path=xl/comments1.xml><?xml version="1.0" encoding="utf-8"?>
<comments xmlns="http://schemas.openxmlformats.org/spreadsheetml/2006/main">
  <authors>
    <author>Автор</author>
  </authors>
  <commentList>
    <comment ref="E36" authorId="0">
      <text>
        <r>
          <rPr>
            <b/>
            <sz val="9"/>
            <color indexed="81"/>
            <rFont val="Tahoma"/>
            <family val="2"/>
            <charset val="204"/>
          </rPr>
          <t>Уберите флажёк, если хотите производить соединители  своими силами</t>
        </r>
      </text>
    </comment>
    <comment ref="M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Укажите город доставки на странице "Доставка"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C8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Жми - это ссылка
</t>
        </r>
      </text>
    </comment>
    <comment ref="C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жми - это ссылка</t>
        </r>
      </text>
    </comment>
    <comment ref="C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жми - это ссылка</t>
        </r>
      </text>
    </comment>
    <comment ref="C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жми - это ссылка</t>
        </r>
      </text>
    </comment>
    <comment ref="C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жми - это ссылка</t>
        </r>
      </text>
    </comment>
    <comment ref="C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жми - это ссылка</t>
        </r>
      </text>
    </comment>
  </commentList>
</comments>
</file>

<file path=xl/sharedStrings.xml><?xml version="1.0" encoding="utf-8"?>
<sst xmlns="http://schemas.openxmlformats.org/spreadsheetml/2006/main" count="9318" uniqueCount="2874">
  <si>
    <t>Наименование материала</t>
  </si>
  <si>
    <t>Объём материалов</t>
  </si>
  <si>
    <t>Стоимость за единицу объёма</t>
  </si>
  <si>
    <t>Общая стоимость материала</t>
  </si>
  <si>
    <t>Доска 200х50мм</t>
  </si>
  <si>
    <t>Гайка М12 для УС</t>
  </si>
  <si>
    <t>Гвозди для кровли 30х3мм</t>
  </si>
  <si>
    <t>Пароизоляция</t>
  </si>
  <si>
    <t>Ветро/гидрозащита</t>
  </si>
  <si>
    <t>Битумная черепица(кровельный материал)</t>
  </si>
  <si>
    <t>Обшивка внутренняя(вагонка)</t>
  </si>
  <si>
    <t>куб.</t>
  </si>
  <si>
    <t>кг</t>
  </si>
  <si>
    <t>м.кв.</t>
  </si>
  <si>
    <t>м.куб</t>
  </si>
  <si>
    <t>Общая стоимость материалов</t>
  </si>
  <si>
    <t>шт</t>
  </si>
  <si>
    <t>$</t>
  </si>
  <si>
    <t>1 к</t>
  </si>
  <si>
    <t>по курсу</t>
  </si>
  <si>
    <t>листов</t>
  </si>
  <si>
    <t>м.п</t>
  </si>
  <si>
    <t>Бетон М300</t>
  </si>
  <si>
    <t>шт.</t>
  </si>
  <si>
    <t>Ярцево</t>
  </si>
  <si>
    <t xml:space="preserve">  ЮВ  </t>
  </si>
  <si>
    <t xml:space="preserve">Ярцево                  </t>
  </si>
  <si>
    <t xml:space="preserve">   ЮВ    </t>
  </si>
  <si>
    <t xml:space="preserve">Ярцево                   </t>
  </si>
  <si>
    <t>Красноярский край</t>
  </si>
  <si>
    <t>Великая Русь</t>
  </si>
  <si>
    <t xml:space="preserve">Ярославль                </t>
  </si>
  <si>
    <t xml:space="preserve">  С   </t>
  </si>
  <si>
    <t xml:space="preserve">Ярославль               </t>
  </si>
  <si>
    <t xml:space="preserve">    Ю    </t>
  </si>
  <si>
    <t>Ярославская область</t>
  </si>
  <si>
    <t>Янаул</t>
  </si>
  <si>
    <t xml:space="preserve">  СВ  </t>
  </si>
  <si>
    <t xml:space="preserve">Янаул                   </t>
  </si>
  <si>
    <t xml:space="preserve">   ЮЗ    </t>
  </si>
  <si>
    <t xml:space="preserve">Янаул                    </t>
  </si>
  <si>
    <t>Республика Башкортостан</t>
  </si>
  <si>
    <t xml:space="preserve">Ялта                     </t>
  </si>
  <si>
    <t xml:space="preserve">  З   </t>
  </si>
  <si>
    <t xml:space="preserve">    -    </t>
  </si>
  <si>
    <t xml:space="preserve">   -    </t>
  </si>
  <si>
    <t xml:space="preserve">     -     </t>
  </si>
  <si>
    <t xml:space="preserve">Ялта                    </t>
  </si>
  <si>
    <t xml:space="preserve">    З    </t>
  </si>
  <si>
    <t xml:space="preserve">    -     </t>
  </si>
  <si>
    <t xml:space="preserve">        </t>
  </si>
  <si>
    <t>Автономная республика Крым</t>
  </si>
  <si>
    <t>Малая Русь</t>
  </si>
  <si>
    <t xml:space="preserve">Якутск                   </t>
  </si>
  <si>
    <t xml:space="preserve">  СЗ  </t>
  </si>
  <si>
    <t xml:space="preserve">Якутск                  </t>
  </si>
  <si>
    <t xml:space="preserve">    С    </t>
  </si>
  <si>
    <t>Республика Саха (Якутия)</t>
  </si>
  <si>
    <t>Юкспор</t>
  </si>
  <si>
    <t xml:space="preserve">Юкспор                  </t>
  </si>
  <si>
    <t xml:space="preserve">Юкспор                   </t>
  </si>
  <si>
    <t>Мурманская область</t>
  </si>
  <si>
    <t>Южно-Сухокумск</t>
  </si>
  <si>
    <t xml:space="preserve">  В   </t>
  </si>
  <si>
    <t xml:space="preserve">  -  </t>
  </si>
  <si>
    <t xml:space="preserve">Южно-Сухокумск          </t>
  </si>
  <si>
    <t xml:space="preserve">    В    </t>
  </si>
  <si>
    <t xml:space="preserve">Южно-Сухокумск           </t>
  </si>
  <si>
    <t>Республика Дагестан</t>
  </si>
  <si>
    <t>Южно-Сахалинск</t>
  </si>
  <si>
    <t xml:space="preserve">Южно-Сахалинск          </t>
  </si>
  <si>
    <t xml:space="preserve">Южно-Сахалинск           </t>
  </si>
  <si>
    <t>Сахалинская область</t>
  </si>
  <si>
    <t>Южно-Курильск</t>
  </si>
  <si>
    <t xml:space="preserve">Южно-Курильск           </t>
  </si>
  <si>
    <t xml:space="preserve">   СЗ    </t>
  </si>
  <si>
    <t xml:space="preserve">Южно-Курильск            </t>
  </si>
  <si>
    <t>Эньмувеем</t>
  </si>
  <si>
    <t xml:space="preserve">Эньмувеем               </t>
  </si>
  <si>
    <t xml:space="preserve">Эньмувеем                </t>
  </si>
  <si>
    <t>Чукотский АО (Магаданская область)</t>
  </si>
  <si>
    <t>Энкэн</t>
  </si>
  <si>
    <t xml:space="preserve">  ЮЗ  </t>
  </si>
  <si>
    <t xml:space="preserve">Энкэн                   </t>
  </si>
  <si>
    <t xml:space="preserve">   -   </t>
  </si>
  <si>
    <t xml:space="preserve">Энкэн                    </t>
  </si>
  <si>
    <t>Хабаровский край</t>
  </si>
  <si>
    <t xml:space="preserve"> 7 1 </t>
  </si>
  <si>
    <t>Эльтон</t>
  </si>
  <si>
    <t xml:space="preserve">Эльтон                  </t>
  </si>
  <si>
    <t xml:space="preserve">Эльтон                   </t>
  </si>
  <si>
    <t>Волгоградская область</t>
  </si>
  <si>
    <t>Элиста</t>
  </si>
  <si>
    <t xml:space="preserve">Элиста                  </t>
  </si>
  <si>
    <t xml:space="preserve">Элиста                   </t>
  </si>
  <si>
    <t>Республика Калмыкия</t>
  </si>
  <si>
    <t>Экимчан</t>
  </si>
  <si>
    <t xml:space="preserve">Экимчан                 </t>
  </si>
  <si>
    <t xml:space="preserve">Экимчан                  </t>
  </si>
  <si>
    <t>Амурская область</t>
  </si>
  <si>
    <t xml:space="preserve">Эйк                      </t>
  </si>
  <si>
    <t xml:space="preserve">Эйк                     </t>
  </si>
  <si>
    <t xml:space="preserve">Шираки                   </t>
  </si>
  <si>
    <t xml:space="preserve">Шираки                  </t>
  </si>
  <si>
    <t>Шираки</t>
  </si>
  <si>
    <t>Грузия</t>
  </si>
  <si>
    <t>Шира</t>
  </si>
  <si>
    <t xml:space="preserve">Шира                    </t>
  </si>
  <si>
    <t xml:space="preserve">Шира                     </t>
  </si>
  <si>
    <t>Республика Хакасия</t>
  </si>
  <si>
    <t>Шимановск</t>
  </si>
  <si>
    <t xml:space="preserve">Шимановск               </t>
  </si>
  <si>
    <t xml:space="preserve">Шимановск                </t>
  </si>
  <si>
    <t xml:space="preserve">Шерабад                  </t>
  </si>
  <si>
    <t xml:space="preserve">  -   </t>
  </si>
  <si>
    <t xml:space="preserve">Шерабад                 </t>
  </si>
  <si>
    <t>Сурхандарьинская область</t>
  </si>
  <si>
    <t>Республика Узбекистан</t>
  </si>
  <si>
    <t xml:space="preserve">Шемонаиха                </t>
  </si>
  <si>
    <t xml:space="preserve">Шемонаиха               </t>
  </si>
  <si>
    <t>Восточно-КазаКстанская область</t>
  </si>
  <si>
    <t>Республика КазаКстан</t>
  </si>
  <si>
    <t xml:space="preserve">Шелагонцы                </t>
  </si>
  <si>
    <t xml:space="preserve">Шелагонцы               </t>
  </si>
  <si>
    <t>Шарья</t>
  </si>
  <si>
    <t xml:space="preserve">Шарья                   </t>
  </si>
  <si>
    <t xml:space="preserve">Шарья                    </t>
  </si>
  <si>
    <t>Костромская область</t>
  </si>
  <si>
    <t>Шамары</t>
  </si>
  <si>
    <t xml:space="preserve">Шамары                  </t>
  </si>
  <si>
    <t xml:space="preserve">Шамары                   </t>
  </si>
  <si>
    <t>Свердловская область</t>
  </si>
  <si>
    <t>Шаартуз</t>
  </si>
  <si>
    <t xml:space="preserve">Шаартуз              </t>
  </si>
  <si>
    <t>Хатлонская область</t>
  </si>
  <si>
    <t>Республика Таджикистан</t>
  </si>
  <si>
    <t>Чухлома</t>
  </si>
  <si>
    <t xml:space="preserve">Чухлома                 </t>
  </si>
  <si>
    <t xml:space="preserve">Чухлома                  </t>
  </si>
  <si>
    <t xml:space="preserve">Чурапча                  </t>
  </si>
  <si>
    <t xml:space="preserve">Чурапча                 </t>
  </si>
  <si>
    <t>Чумикан</t>
  </si>
  <si>
    <t xml:space="preserve">Чумикан                 </t>
  </si>
  <si>
    <t xml:space="preserve">Чумикан                  </t>
  </si>
  <si>
    <t xml:space="preserve">Чульман                  </t>
  </si>
  <si>
    <t xml:space="preserve">Чульман                 </t>
  </si>
  <si>
    <t>Чулым</t>
  </si>
  <si>
    <t xml:space="preserve">Чулым                   </t>
  </si>
  <si>
    <t xml:space="preserve">Чулым                    </t>
  </si>
  <si>
    <t>Новосибирская область</t>
  </si>
  <si>
    <t>Чугуевка</t>
  </si>
  <si>
    <t xml:space="preserve">  Ю   </t>
  </si>
  <si>
    <t xml:space="preserve">Чугуевка                </t>
  </si>
  <si>
    <t xml:space="preserve">Чугуевка                 </t>
  </si>
  <si>
    <t>Приморский край</t>
  </si>
  <si>
    <t xml:space="preserve">Чолпон-Ата               </t>
  </si>
  <si>
    <t xml:space="preserve">Чолпон-Ата              </t>
  </si>
  <si>
    <t>Иссык-Кульская область</t>
  </si>
  <si>
    <t>Кыргызская Республика</t>
  </si>
  <si>
    <t>Чита</t>
  </si>
  <si>
    <t xml:space="preserve">Чита                    </t>
  </si>
  <si>
    <t xml:space="preserve">Чита                     </t>
  </si>
  <si>
    <t>Читинская область</t>
  </si>
  <si>
    <t xml:space="preserve">Чимкент                  </t>
  </si>
  <si>
    <t xml:space="preserve">Чимкент                 </t>
  </si>
  <si>
    <t>Южно-КазаКстанская область</t>
  </si>
  <si>
    <t xml:space="preserve">Чимбай                   </t>
  </si>
  <si>
    <t xml:space="preserve">Чимбай                  </t>
  </si>
  <si>
    <t>Каракалпакстан</t>
  </si>
  <si>
    <t>Черняево</t>
  </si>
  <si>
    <t xml:space="preserve">Черняево                </t>
  </si>
  <si>
    <t xml:space="preserve">Черняево                 </t>
  </si>
  <si>
    <t xml:space="preserve">Черновцы                 </t>
  </si>
  <si>
    <t xml:space="preserve">Черновцы                </t>
  </si>
  <si>
    <t>Черновицкая область</t>
  </si>
  <si>
    <t xml:space="preserve">Чернигов                 </t>
  </si>
  <si>
    <t xml:space="preserve">Чернигов                </t>
  </si>
  <si>
    <t>Черниговская область</t>
  </si>
  <si>
    <t>Черлак</t>
  </si>
  <si>
    <t xml:space="preserve">Черлак                  </t>
  </si>
  <si>
    <t xml:space="preserve">Черлак                   </t>
  </si>
  <si>
    <t>Омская область</t>
  </si>
  <si>
    <t>Черкесск</t>
  </si>
  <si>
    <t xml:space="preserve">Черкесск                </t>
  </si>
  <si>
    <t xml:space="preserve">Черкесск                 </t>
  </si>
  <si>
    <t>Карачаево-Черкесская республика</t>
  </si>
  <si>
    <t>Чердынь</t>
  </si>
  <si>
    <t xml:space="preserve">Чердынь                 </t>
  </si>
  <si>
    <t xml:space="preserve">Чердынь                  </t>
  </si>
  <si>
    <t>Пермская область</t>
  </si>
  <si>
    <t>Челябинск</t>
  </si>
  <si>
    <t xml:space="preserve">Челябинск               </t>
  </si>
  <si>
    <t xml:space="preserve">Челябинск                </t>
  </si>
  <si>
    <t>Челябинская область</t>
  </si>
  <si>
    <t>Челюскин-2, мыс -  Таймырский АО</t>
  </si>
  <si>
    <t xml:space="preserve">Челюскин, мыс -         </t>
  </si>
  <si>
    <t xml:space="preserve">Челюскин, мыс -          </t>
  </si>
  <si>
    <t xml:space="preserve">Челкар                   </t>
  </si>
  <si>
    <t xml:space="preserve">Челкар                  </t>
  </si>
  <si>
    <t xml:space="preserve">   СВ    </t>
  </si>
  <si>
    <t>Актюбинская область</t>
  </si>
  <si>
    <t>Чебоксары</t>
  </si>
  <si>
    <t xml:space="preserve">Чебоксары               </t>
  </si>
  <si>
    <t xml:space="preserve">Чебоксары                </t>
  </si>
  <si>
    <t>Чувашская Республика</t>
  </si>
  <si>
    <t xml:space="preserve">Чарджоу                  </t>
  </si>
  <si>
    <t xml:space="preserve">Чарджоу                 </t>
  </si>
  <si>
    <t xml:space="preserve">Чарджоуская область      </t>
  </si>
  <si>
    <t>Республика Туркменистан</t>
  </si>
  <si>
    <t xml:space="preserve">Чарвак                   </t>
  </si>
  <si>
    <t xml:space="preserve">Чарвак                  </t>
  </si>
  <si>
    <t>Ташкентская область</t>
  </si>
  <si>
    <t>Чара</t>
  </si>
  <si>
    <t xml:space="preserve">Чара                    </t>
  </si>
  <si>
    <t xml:space="preserve">Чара                     </t>
  </si>
  <si>
    <t xml:space="preserve">Чагыл                    </t>
  </si>
  <si>
    <t xml:space="preserve">Чагыл                   </t>
  </si>
  <si>
    <t xml:space="preserve">Балканская область       </t>
  </si>
  <si>
    <t xml:space="preserve">Цхинвали                 </t>
  </si>
  <si>
    <t xml:space="preserve">Цхинвали                </t>
  </si>
  <si>
    <t>Цхинвали</t>
  </si>
  <si>
    <t xml:space="preserve">Хуло                     </t>
  </si>
  <si>
    <t xml:space="preserve">Хуло                    </t>
  </si>
  <si>
    <t>Хуло</t>
  </si>
  <si>
    <t>Аджарская республика</t>
  </si>
  <si>
    <t>Худжанд</t>
  </si>
  <si>
    <t xml:space="preserve">Худжанд              </t>
  </si>
  <si>
    <t>Ленинабадская область</t>
  </si>
  <si>
    <t xml:space="preserve">Хоседа-Хард              </t>
  </si>
  <si>
    <t xml:space="preserve">Хоседа-Хард             </t>
  </si>
  <si>
    <t>Немецкий АО (Архангельская область)</t>
  </si>
  <si>
    <t>Хорог</t>
  </si>
  <si>
    <t xml:space="preserve">Хорог                </t>
  </si>
  <si>
    <t>Горно-Бадахшанская АО</t>
  </si>
  <si>
    <t>Хоринск</t>
  </si>
  <si>
    <t xml:space="preserve">Хоринск                 </t>
  </si>
  <si>
    <t xml:space="preserve">Хоринск                  </t>
  </si>
  <si>
    <t>Республика Бурятия</t>
  </si>
  <si>
    <t>Холмск</t>
  </si>
  <si>
    <t xml:space="preserve">Холмск                  </t>
  </si>
  <si>
    <t xml:space="preserve">Холмск                   </t>
  </si>
  <si>
    <t xml:space="preserve">Ходовариха               </t>
  </si>
  <si>
    <t xml:space="preserve">Ходовариха              </t>
  </si>
  <si>
    <t xml:space="preserve">Хмельницкий              </t>
  </si>
  <si>
    <t xml:space="preserve">         </t>
  </si>
  <si>
    <t xml:space="preserve">Хмельницкий             </t>
  </si>
  <si>
    <t>Хмельницкая область</t>
  </si>
  <si>
    <t xml:space="preserve">Херсон                   </t>
  </si>
  <si>
    <t xml:space="preserve">Херсон                  </t>
  </si>
  <si>
    <t>Херсонская область</t>
  </si>
  <si>
    <t>Хатанга</t>
  </si>
  <si>
    <t xml:space="preserve">Хатанга - Таймырский АО </t>
  </si>
  <si>
    <t xml:space="preserve">Хатанга - Таймырский АО  </t>
  </si>
  <si>
    <t xml:space="preserve">Харьков                  </t>
  </si>
  <si>
    <t xml:space="preserve">Харьков                 </t>
  </si>
  <si>
    <t>Харьковская область</t>
  </si>
  <si>
    <t>Ханты-Мансийск - Ханты-Мансийский АО</t>
  </si>
  <si>
    <t xml:space="preserve">Ханты-Мансийск -        </t>
  </si>
  <si>
    <t xml:space="preserve">Ханты-Мансийск -         </t>
  </si>
  <si>
    <t>Тюменская область</t>
  </si>
  <si>
    <t xml:space="preserve">Хайдаркан                </t>
  </si>
  <si>
    <t xml:space="preserve">Хайдаркан               </t>
  </si>
  <si>
    <t>Ошская область</t>
  </si>
  <si>
    <t>Хабаровск</t>
  </si>
  <si>
    <t xml:space="preserve">Хабаровск               </t>
  </si>
  <si>
    <t xml:space="preserve">Хабаровск                </t>
  </si>
  <si>
    <t xml:space="preserve">Фурмановка               </t>
  </si>
  <si>
    <t xml:space="preserve">Фурмановка              </t>
  </si>
  <si>
    <t>Джамбулская область</t>
  </si>
  <si>
    <t xml:space="preserve">Форт-Шевченко            </t>
  </si>
  <si>
    <t xml:space="preserve">Форт-Шевченко           </t>
  </si>
  <si>
    <t>Мангистауская область</t>
  </si>
  <si>
    <t xml:space="preserve">Фергана                  </t>
  </si>
  <si>
    <t xml:space="preserve">Фергана                 </t>
  </si>
  <si>
    <t>Ферганская область</t>
  </si>
  <si>
    <t xml:space="preserve">Феодосия                 </t>
  </si>
  <si>
    <t xml:space="preserve">Феодосия                </t>
  </si>
  <si>
    <t>Ухта</t>
  </si>
  <si>
    <t xml:space="preserve">Ухта                    </t>
  </si>
  <si>
    <t xml:space="preserve">Ухта                     </t>
  </si>
  <si>
    <t>Республика Коми</t>
  </si>
  <si>
    <t>Уфа</t>
  </si>
  <si>
    <t xml:space="preserve">Уфа                     </t>
  </si>
  <si>
    <t xml:space="preserve">Уфа                      </t>
  </si>
  <si>
    <t>Усть-Щугор</t>
  </si>
  <si>
    <t xml:space="preserve">Усть-Щугор              </t>
  </si>
  <si>
    <t xml:space="preserve">Усть-Щугор               </t>
  </si>
  <si>
    <t>Усть-Цильма</t>
  </si>
  <si>
    <t xml:space="preserve">Усть-Цильма             </t>
  </si>
  <si>
    <t xml:space="preserve">Усть-Цильма              </t>
  </si>
  <si>
    <t>Усть-Хайрюзово</t>
  </si>
  <si>
    <t xml:space="preserve">Усть-Хайрюзово          </t>
  </si>
  <si>
    <t xml:space="preserve">Усть-Хайрюзово           </t>
  </si>
  <si>
    <t>Камчатская область</t>
  </si>
  <si>
    <t>Усть-Уса</t>
  </si>
  <si>
    <t xml:space="preserve">Усть-Уса                </t>
  </si>
  <si>
    <t xml:space="preserve">Усть-Уса                 </t>
  </si>
  <si>
    <t>Усть-Ордынский</t>
  </si>
  <si>
    <t xml:space="preserve">Усть-Ордынский - Усть-  </t>
  </si>
  <si>
    <t xml:space="preserve">Усть-Ордынский - Усть-   </t>
  </si>
  <si>
    <t>Иркутская область</t>
  </si>
  <si>
    <t>Усть-Олой</t>
  </si>
  <si>
    <t xml:space="preserve">Усть-Олой               </t>
  </si>
  <si>
    <t xml:space="preserve">Усть-Олой                </t>
  </si>
  <si>
    <t>Усть-Озерное</t>
  </si>
  <si>
    <t xml:space="preserve">Усть-Озерное            </t>
  </si>
  <si>
    <t xml:space="preserve">Усть-Озерное             </t>
  </si>
  <si>
    <t>Томская область</t>
  </si>
  <si>
    <t>Усть-Нюкжа</t>
  </si>
  <si>
    <t xml:space="preserve">Усть-Нюкжа              </t>
  </si>
  <si>
    <t xml:space="preserve">Усть-Нюкжа               </t>
  </si>
  <si>
    <t xml:space="preserve">Усть-Мома                </t>
  </si>
  <si>
    <t xml:space="preserve">Усть-Мома               </t>
  </si>
  <si>
    <t xml:space="preserve">Усть-Миль                </t>
  </si>
  <si>
    <t xml:space="preserve">Усть-Миль               </t>
  </si>
  <si>
    <t xml:space="preserve">Усть-Мая                 </t>
  </si>
  <si>
    <t xml:space="preserve">Усть-Мая                </t>
  </si>
  <si>
    <t>Усть-Камчатск</t>
  </si>
  <si>
    <t xml:space="preserve">Усть-Камчатск           </t>
  </si>
  <si>
    <t xml:space="preserve">Усть-Камчатск            </t>
  </si>
  <si>
    <t xml:space="preserve">Усть-Каменогорск         </t>
  </si>
  <si>
    <t xml:space="preserve">Усть-Каменогорск        </t>
  </si>
  <si>
    <t>Усть-Кабырза</t>
  </si>
  <si>
    <t xml:space="preserve">Усть-Кабырза            </t>
  </si>
  <si>
    <t xml:space="preserve">Усть-Кабырза             </t>
  </si>
  <si>
    <t>Кемеровская область</t>
  </si>
  <si>
    <t>Усть-Воямполка -  Корякский АО</t>
  </si>
  <si>
    <t xml:space="preserve">Усть-Воямполка -        </t>
  </si>
  <si>
    <t xml:space="preserve">Усть-Воямполка -         </t>
  </si>
  <si>
    <t>Уренгой - Ханты-Мансийский АО</t>
  </si>
  <si>
    <t>Уренгой - Ямало-Ненецкий</t>
  </si>
  <si>
    <t xml:space="preserve">Уренгой - Ямало-Ненецкий </t>
  </si>
  <si>
    <t xml:space="preserve">Ургенч                   </t>
  </si>
  <si>
    <t xml:space="preserve">Ургенч                  </t>
  </si>
  <si>
    <t>Хорезмская область</t>
  </si>
  <si>
    <t>Ура-Тюбе</t>
  </si>
  <si>
    <t xml:space="preserve">Ура-Тюбе             </t>
  </si>
  <si>
    <t xml:space="preserve">Уральск                  </t>
  </si>
  <si>
    <t xml:space="preserve">Уральск                 </t>
  </si>
  <si>
    <t>Северо-КазаКстанская область</t>
  </si>
  <si>
    <t>Унаха</t>
  </si>
  <si>
    <t xml:space="preserve">Унаха                   </t>
  </si>
  <si>
    <t xml:space="preserve">Унаха                    </t>
  </si>
  <si>
    <t>Умба</t>
  </si>
  <si>
    <t xml:space="preserve">Умба                    </t>
  </si>
  <si>
    <t xml:space="preserve">Умба                     </t>
  </si>
  <si>
    <t xml:space="preserve">Умань                    </t>
  </si>
  <si>
    <t xml:space="preserve">Умань                   </t>
  </si>
  <si>
    <t>Черкасская область</t>
  </si>
  <si>
    <t>Ульяновск</t>
  </si>
  <si>
    <t xml:space="preserve">Ульяновск               </t>
  </si>
  <si>
    <t xml:space="preserve">Ульяновск                </t>
  </si>
  <si>
    <t>Ульяновская область</t>
  </si>
  <si>
    <t>Улан-Удэ</t>
  </si>
  <si>
    <t xml:space="preserve">Улан-Удэ                </t>
  </si>
  <si>
    <t xml:space="preserve">Улан-Удэ                 </t>
  </si>
  <si>
    <t>Ука</t>
  </si>
  <si>
    <t xml:space="preserve">Ука                     </t>
  </si>
  <si>
    <t xml:space="preserve">Ука                      </t>
  </si>
  <si>
    <t xml:space="preserve">Уил                      </t>
  </si>
  <si>
    <t xml:space="preserve">Уил                     </t>
  </si>
  <si>
    <t xml:space="preserve">Ужгород                  </t>
  </si>
  <si>
    <t xml:space="preserve">Ужгород                 </t>
  </si>
  <si>
    <t>Закарпатская область</t>
  </si>
  <si>
    <t>Угут</t>
  </si>
  <si>
    <t xml:space="preserve">Угут                    </t>
  </si>
  <si>
    <t xml:space="preserve">Угут                     </t>
  </si>
  <si>
    <t>Уакит</t>
  </si>
  <si>
    <t xml:space="preserve">Уакит                   </t>
  </si>
  <si>
    <t xml:space="preserve">Уакит                    </t>
  </si>
  <si>
    <t xml:space="preserve">Тяня                     </t>
  </si>
  <si>
    <t xml:space="preserve">Тяня                    </t>
  </si>
  <si>
    <t>Тюмень</t>
  </si>
  <si>
    <t xml:space="preserve">Тюмень                  </t>
  </si>
  <si>
    <t xml:space="preserve">Тюмень                   </t>
  </si>
  <si>
    <t>Тында</t>
  </si>
  <si>
    <t xml:space="preserve">Тында                   </t>
  </si>
  <si>
    <t xml:space="preserve">Тында                    </t>
  </si>
  <si>
    <t>Тыган-Уркан</t>
  </si>
  <si>
    <t xml:space="preserve">Тыган-Уркан             </t>
  </si>
  <si>
    <t xml:space="preserve">Тыган-Уркан              </t>
  </si>
  <si>
    <t>Туруханск</t>
  </si>
  <si>
    <t xml:space="preserve">Туруханск               </t>
  </si>
  <si>
    <t xml:space="preserve">Туруханск                </t>
  </si>
  <si>
    <t xml:space="preserve">Туркменбаши              </t>
  </si>
  <si>
    <t xml:space="preserve">Туркменбаши             </t>
  </si>
  <si>
    <t xml:space="preserve">Туркестан                </t>
  </si>
  <si>
    <t xml:space="preserve">Туркестан               </t>
  </si>
  <si>
    <t>Туринск</t>
  </si>
  <si>
    <t xml:space="preserve">Туринск                 </t>
  </si>
  <si>
    <t xml:space="preserve">Туринск                  </t>
  </si>
  <si>
    <t xml:space="preserve">Тургай                   </t>
  </si>
  <si>
    <t xml:space="preserve">Тургай                  </t>
  </si>
  <si>
    <t>Тургайская область</t>
  </si>
  <si>
    <t>Тура - Эвенкийский АО</t>
  </si>
  <si>
    <t xml:space="preserve">Тура - Эвенкийский АО   </t>
  </si>
  <si>
    <t xml:space="preserve">Тура - Эвенкийский АО    </t>
  </si>
  <si>
    <t>Тупик</t>
  </si>
  <si>
    <t xml:space="preserve">Тупик                   </t>
  </si>
  <si>
    <t xml:space="preserve">Тупик                    </t>
  </si>
  <si>
    <t xml:space="preserve">Туой-Хая                 </t>
  </si>
  <si>
    <t xml:space="preserve">Туой-Хая                </t>
  </si>
  <si>
    <t>Туой-Хая</t>
  </si>
  <si>
    <t>Тунгокочен</t>
  </si>
  <si>
    <t xml:space="preserve">Тунгокочен              </t>
  </si>
  <si>
    <t xml:space="preserve">Тунгокочен               </t>
  </si>
  <si>
    <t>Тулун</t>
  </si>
  <si>
    <t xml:space="preserve">Тулун                   </t>
  </si>
  <si>
    <t xml:space="preserve">Тулун                    </t>
  </si>
  <si>
    <t>Тула</t>
  </si>
  <si>
    <t xml:space="preserve">Тула                    </t>
  </si>
  <si>
    <t xml:space="preserve">Тула                     </t>
  </si>
  <si>
    <t>Тульская область</t>
  </si>
  <si>
    <t>Троицко-Печорск</t>
  </si>
  <si>
    <t xml:space="preserve">Троицко-Печорск         </t>
  </si>
  <si>
    <t xml:space="preserve">Троицко-Печорск          </t>
  </si>
  <si>
    <t>Троицкое</t>
  </si>
  <si>
    <t xml:space="preserve">Троицкое                </t>
  </si>
  <si>
    <t xml:space="preserve">Троицкое                 </t>
  </si>
  <si>
    <t>Тотьма</t>
  </si>
  <si>
    <t xml:space="preserve">Тотьма                  </t>
  </si>
  <si>
    <t xml:space="preserve">Тотьма                   </t>
  </si>
  <si>
    <t>Вологодская область</t>
  </si>
  <si>
    <t>Топки</t>
  </si>
  <si>
    <t xml:space="preserve">Топки                   </t>
  </si>
  <si>
    <t xml:space="preserve">Топки                    </t>
  </si>
  <si>
    <t>Томск</t>
  </si>
  <si>
    <t xml:space="preserve">Томск                   </t>
  </si>
  <si>
    <t xml:space="preserve">Томск                    </t>
  </si>
  <si>
    <t xml:space="preserve">Томпо                    </t>
  </si>
  <si>
    <t xml:space="preserve">Томпо                   </t>
  </si>
  <si>
    <t xml:space="preserve">Томмот                   </t>
  </si>
  <si>
    <t xml:space="preserve">Томмот                  </t>
  </si>
  <si>
    <t xml:space="preserve">Токо                     </t>
  </si>
  <si>
    <t xml:space="preserve">Токо                    </t>
  </si>
  <si>
    <t xml:space="preserve">Тогул </t>
  </si>
  <si>
    <t xml:space="preserve">Тогул                   </t>
  </si>
  <si>
    <t xml:space="preserve">Тогул                    </t>
  </si>
  <si>
    <t>Алтайский край, Республика Алтай</t>
  </si>
  <si>
    <t>Тобольск</t>
  </si>
  <si>
    <t xml:space="preserve">Тобольск                </t>
  </si>
  <si>
    <t xml:space="preserve">Тобольск                 </t>
  </si>
  <si>
    <t>Тихорецк</t>
  </si>
  <si>
    <t xml:space="preserve">Тихорецк                </t>
  </si>
  <si>
    <t xml:space="preserve">Тихорецк                 </t>
  </si>
  <si>
    <t>Краснодарский край</t>
  </si>
  <si>
    <t>Тихвин</t>
  </si>
  <si>
    <t xml:space="preserve">Тихвин                  </t>
  </si>
  <si>
    <t xml:space="preserve">Тихвин                   </t>
  </si>
  <si>
    <t>Ленинградская область</t>
  </si>
  <si>
    <t>Тисуль</t>
  </si>
  <si>
    <t xml:space="preserve">Тисуль                  </t>
  </si>
  <si>
    <t xml:space="preserve">Тисуль                   </t>
  </si>
  <si>
    <t>Терско-Орловский</t>
  </si>
  <si>
    <t xml:space="preserve">Терско-Орловский        </t>
  </si>
  <si>
    <t xml:space="preserve">Терско-Орловский         </t>
  </si>
  <si>
    <t xml:space="preserve">Тернополь                </t>
  </si>
  <si>
    <t xml:space="preserve">Тернополь               </t>
  </si>
  <si>
    <t>Тернопольская оьласть</t>
  </si>
  <si>
    <t xml:space="preserve">Термез                   </t>
  </si>
  <si>
    <t xml:space="preserve">Термез                  </t>
  </si>
  <si>
    <t>Териберка</t>
  </si>
  <si>
    <t xml:space="preserve">Териберка               </t>
  </si>
  <si>
    <t xml:space="preserve">Териберка                </t>
  </si>
  <si>
    <t xml:space="preserve">Телави                   </t>
  </si>
  <si>
    <t xml:space="preserve">Телави                  </t>
  </si>
  <si>
    <t>Телави</t>
  </si>
  <si>
    <t xml:space="preserve">Теджен                   </t>
  </si>
  <si>
    <t xml:space="preserve">Теджен                  </t>
  </si>
  <si>
    <t xml:space="preserve">Ахалская область        </t>
  </si>
  <si>
    <t>Тверь</t>
  </si>
  <si>
    <t xml:space="preserve">Тверь                   </t>
  </si>
  <si>
    <t xml:space="preserve">Тверь                    </t>
  </si>
  <si>
    <t>Тверская область</t>
  </si>
  <si>
    <t xml:space="preserve">Тбилиси                  </t>
  </si>
  <si>
    <t xml:space="preserve">Тбилиси                 </t>
  </si>
  <si>
    <t>Тбилиси</t>
  </si>
  <si>
    <t xml:space="preserve">Ташкент                  </t>
  </si>
  <si>
    <t xml:space="preserve">Ташкент                 </t>
  </si>
  <si>
    <t xml:space="preserve">Ташауз                   </t>
  </si>
  <si>
    <t xml:space="preserve">Ташауз                  </t>
  </si>
  <si>
    <t xml:space="preserve">Ташаузская область       </t>
  </si>
  <si>
    <t xml:space="preserve">Тахтабазар               </t>
  </si>
  <si>
    <t xml:space="preserve">Тахтабазар              </t>
  </si>
  <si>
    <t xml:space="preserve">Марыйская область        </t>
  </si>
  <si>
    <t>Татарск</t>
  </si>
  <si>
    <t xml:space="preserve">Татарск                 </t>
  </si>
  <si>
    <t xml:space="preserve">Татарск                  </t>
  </si>
  <si>
    <t>Тарко-Сале - Ханты-Мансийский АО</t>
  </si>
  <si>
    <t xml:space="preserve">Тарко-Сале -            </t>
  </si>
  <si>
    <t xml:space="preserve">Тарко-Сале -             </t>
  </si>
  <si>
    <t>Тара</t>
  </si>
  <si>
    <t xml:space="preserve">Тара                    </t>
  </si>
  <si>
    <t xml:space="preserve">Тара                     </t>
  </si>
  <si>
    <t>Тамбов</t>
  </si>
  <si>
    <t xml:space="preserve">Тамбов                  </t>
  </si>
  <si>
    <t xml:space="preserve">Тамбов                   </t>
  </si>
  <si>
    <t>Тамбовская область</t>
  </si>
  <si>
    <t xml:space="preserve">Талды-Курган             </t>
  </si>
  <si>
    <t xml:space="preserve">     </t>
  </si>
  <si>
    <t xml:space="preserve">Талды-Курган            </t>
  </si>
  <si>
    <t>Талды-Курганская область</t>
  </si>
  <si>
    <t xml:space="preserve">Талас                    </t>
  </si>
  <si>
    <t xml:space="preserve">Талас                   </t>
  </si>
  <si>
    <t>Таласская область</t>
  </si>
  <si>
    <t>Тайшет</t>
  </si>
  <si>
    <t xml:space="preserve">Тайшет                  </t>
  </si>
  <si>
    <t xml:space="preserve">Тайшет                   </t>
  </si>
  <si>
    <t>Тайга</t>
  </si>
  <si>
    <t xml:space="preserve">Тайга                   </t>
  </si>
  <si>
    <t xml:space="preserve">Тайга                    </t>
  </si>
  <si>
    <t>Таимба</t>
  </si>
  <si>
    <t xml:space="preserve">Таимба                  </t>
  </si>
  <si>
    <t xml:space="preserve">Таимба                   </t>
  </si>
  <si>
    <t>Таганрог</t>
  </si>
  <si>
    <t xml:space="preserve">Таганрог                </t>
  </si>
  <si>
    <t xml:space="preserve">Таганрог                 </t>
  </si>
  <si>
    <t>Ростовская область</t>
  </si>
  <si>
    <t xml:space="preserve">Сюрен-Кюель              </t>
  </si>
  <si>
    <t xml:space="preserve">Сюрен-Кюель             </t>
  </si>
  <si>
    <t xml:space="preserve">Сюльдюкар                </t>
  </si>
  <si>
    <t xml:space="preserve">Сюльдюкар               </t>
  </si>
  <si>
    <t xml:space="preserve">Сырдарья                 </t>
  </si>
  <si>
    <t xml:space="preserve">Сырдарья                </t>
  </si>
  <si>
    <t>Сырдарьинская область</t>
  </si>
  <si>
    <t>Сыктывкар</t>
  </si>
  <si>
    <t xml:space="preserve">Сыктывкар               </t>
  </si>
  <si>
    <t xml:space="preserve">Сыктывкар                </t>
  </si>
  <si>
    <t xml:space="preserve">Сухуми                   </t>
  </si>
  <si>
    <t xml:space="preserve">Сухуми                  </t>
  </si>
  <si>
    <t>Сухуми</t>
  </si>
  <si>
    <t>Абхазская Республика</t>
  </si>
  <si>
    <t xml:space="preserve">Сухана                   </t>
  </si>
  <si>
    <t xml:space="preserve">Сухана                  </t>
  </si>
  <si>
    <t>Сусуман</t>
  </si>
  <si>
    <t xml:space="preserve">Сусуман                 </t>
  </si>
  <si>
    <t xml:space="preserve">Сусуман                  </t>
  </si>
  <si>
    <t>Магаданская область</t>
  </si>
  <si>
    <t xml:space="preserve">Сусамыр                  </t>
  </si>
  <si>
    <t xml:space="preserve">Сусамыр                 </t>
  </si>
  <si>
    <t>Нарынская область</t>
  </si>
  <si>
    <t>Сурское</t>
  </si>
  <si>
    <t xml:space="preserve">Сурское                 </t>
  </si>
  <si>
    <t xml:space="preserve">Сурское                  </t>
  </si>
  <si>
    <t>Сургут -  Ханты-Мансийский АО</t>
  </si>
  <si>
    <t xml:space="preserve">Сургут -                </t>
  </si>
  <si>
    <t>Сургут - Ханты-Мансийский</t>
  </si>
  <si>
    <t xml:space="preserve">Сунтар                   </t>
  </si>
  <si>
    <t xml:space="preserve">Сунтар                  </t>
  </si>
  <si>
    <t xml:space="preserve">Сумы                     </t>
  </si>
  <si>
    <t xml:space="preserve">Сумы                    </t>
  </si>
  <si>
    <t>Сумская область</t>
  </si>
  <si>
    <t xml:space="preserve">Степанаван               </t>
  </si>
  <si>
    <t xml:space="preserve">Степанаван              </t>
  </si>
  <si>
    <t>Степанаван</t>
  </si>
  <si>
    <t>Республика Армения</t>
  </si>
  <si>
    <t>Ставрополь</t>
  </si>
  <si>
    <t xml:space="preserve">Ставрополь              </t>
  </si>
  <si>
    <t xml:space="preserve">Ставрополь               </t>
  </si>
  <si>
    <t>Ставропольский край</t>
  </si>
  <si>
    <t>Средняя Нюкжа</t>
  </si>
  <si>
    <t xml:space="preserve">Средняя Нюкжа           </t>
  </si>
  <si>
    <t xml:space="preserve">Средняя Нюкжа            </t>
  </si>
  <si>
    <t>Средний Ургал</t>
  </si>
  <si>
    <t xml:space="preserve">Средний Ургал           </t>
  </si>
  <si>
    <t xml:space="preserve">Средний Ургал            </t>
  </si>
  <si>
    <t>Средний Калар</t>
  </si>
  <si>
    <t xml:space="preserve">Средний Калар           </t>
  </si>
  <si>
    <t xml:space="preserve">Средний Калар            </t>
  </si>
  <si>
    <t>Средний Васюган</t>
  </si>
  <si>
    <t xml:space="preserve">Средний Васюган         </t>
  </si>
  <si>
    <t xml:space="preserve">Средний Васюган          </t>
  </si>
  <si>
    <t xml:space="preserve">Среднеколымск            </t>
  </si>
  <si>
    <t xml:space="preserve">Среднеколымск           </t>
  </si>
  <si>
    <t>Среднекан</t>
  </si>
  <si>
    <t xml:space="preserve">Среднекан               </t>
  </si>
  <si>
    <t xml:space="preserve">Среднекан                </t>
  </si>
  <si>
    <t xml:space="preserve">Спитак                   </t>
  </si>
  <si>
    <t xml:space="preserve">Спитак                  </t>
  </si>
  <si>
    <t>Спитак</t>
  </si>
  <si>
    <t>Сочи</t>
  </si>
  <si>
    <t xml:space="preserve">Сочи                    </t>
  </si>
  <si>
    <t xml:space="preserve">Сочи                     </t>
  </si>
  <si>
    <t>Софийский Прииск</t>
  </si>
  <si>
    <t xml:space="preserve">Софийский Прииск        </t>
  </si>
  <si>
    <t xml:space="preserve">Софийский Прииск         </t>
  </si>
  <si>
    <t>Сосьва</t>
  </si>
  <si>
    <t xml:space="preserve">Сосьва                  </t>
  </si>
  <si>
    <t xml:space="preserve">Сосьва                   </t>
  </si>
  <si>
    <t>Сосуново</t>
  </si>
  <si>
    <t xml:space="preserve">Сосуново                </t>
  </si>
  <si>
    <t xml:space="preserve">Сосуново                 </t>
  </si>
  <si>
    <t>Сосново-Озерское</t>
  </si>
  <si>
    <t xml:space="preserve">Сосново-Озерское        </t>
  </si>
  <si>
    <t xml:space="preserve">Сосново-Озерское         </t>
  </si>
  <si>
    <t>Сортавала</t>
  </si>
  <si>
    <t xml:space="preserve">Сортавала               </t>
  </si>
  <si>
    <t xml:space="preserve">Сортавала                </t>
  </si>
  <si>
    <t>1 8,1</t>
  </si>
  <si>
    <t>Республика Карелия</t>
  </si>
  <si>
    <t>Сорочинск</t>
  </si>
  <si>
    <t xml:space="preserve">Сорочинск               </t>
  </si>
  <si>
    <t xml:space="preserve">Сорочинск                </t>
  </si>
  <si>
    <t>Оренбургсая область</t>
  </si>
  <si>
    <t>Советская Гавань</t>
  </si>
  <si>
    <t xml:space="preserve">Советская Гавань        </t>
  </si>
  <si>
    <t xml:space="preserve">Советская Гавань         </t>
  </si>
  <si>
    <t>Соболево</t>
  </si>
  <si>
    <t xml:space="preserve">Соболево                </t>
  </si>
  <si>
    <t xml:space="preserve">Соболево                 </t>
  </si>
  <si>
    <t>Смоленск</t>
  </si>
  <si>
    <t xml:space="preserve">Смоленск                </t>
  </si>
  <si>
    <t xml:space="preserve">Смоленск                 </t>
  </si>
  <si>
    <t>Смоленсая область</t>
  </si>
  <si>
    <t>Слюдянка</t>
  </si>
  <si>
    <t xml:space="preserve">Слюдянка                </t>
  </si>
  <si>
    <t xml:space="preserve">Слюдянка                 </t>
  </si>
  <si>
    <t>Славгород</t>
  </si>
  <si>
    <t xml:space="preserve">Славгород               </t>
  </si>
  <si>
    <t xml:space="preserve">Славгород                </t>
  </si>
  <si>
    <t>Сковородино</t>
  </si>
  <si>
    <t xml:space="preserve">Сковородино             </t>
  </si>
  <si>
    <t xml:space="preserve">Сковородино              </t>
  </si>
  <si>
    <t xml:space="preserve">Сисиан                   </t>
  </si>
  <si>
    <t xml:space="preserve">Сисиан                  </t>
  </si>
  <si>
    <t>Сисиан</t>
  </si>
  <si>
    <t xml:space="preserve">Симферополь              </t>
  </si>
  <si>
    <t xml:space="preserve">Симферополь             </t>
  </si>
  <si>
    <t>Сизиман</t>
  </si>
  <si>
    <t xml:space="preserve">Сизиман                 </t>
  </si>
  <si>
    <t xml:space="preserve">Сизиман                  </t>
  </si>
  <si>
    <t xml:space="preserve">Серахс                   </t>
  </si>
  <si>
    <t xml:space="preserve">Серахс                  </t>
  </si>
  <si>
    <t>Семлячики</t>
  </si>
  <si>
    <t xml:space="preserve">Семлячики               </t>
  </si>
  <si>
    <t xml:space="preserve">Семлячики                </t>
  </si>
  <si>
    <t xml:space="preserve">Семипалатинск            </t>
  </si>
  <si>
    <t xml:space="preserve">Семипалатинск           </t>
  </si>
  <si>
    <t>Семипалатинская область</t>
  </si>
  <si>
    <t xml:space="preserve">Севан                    </t>
  </si>
  <si>
    <t xml:space="preserve">Севан                   </t>
  </si>
  <si>
    <t>Севан</t>
  </si>
  <si>
    <t>Свободный</t>
  </si>
  <si>
    <t xml:space="preserve">Свободный               </t>
  </si>
  <si>
    <t xml:space="preserve">Свободный                </t>
  </si>
  <si>
    <t>Свирица</t>
  </si>
  <si>
    <t xml:space="preserve">Свирица                 </t>
  </si>
  <si>
    <t xml:space="preserve">Свирица                  </t>
  </si>
  <si>
    <t xml:space="preserve">Саскылах                 </t>
  </si>
  <si>
    <t xml:space="preserve">Саскылах                </t>
  </si>
  <si>
    <t xml:space="preserve">Сарны                    </t>
  </si>
  <si>
    <t xml:space="preserve">Сарны                   </t>
  </si>
  <si>
    <t xml:space="preserve">          </t>
  </si>
  <si>
    <t>Ровенская область</t>
  </si>
  <si>
    <t>Саратов</t>
  </si>
  <si>
    <t xml:space="preserve">Саратов                 </t>
  </si>
  <si>
    <t xml:space="preserve">Саратов                  </t>
  </si>
  <si>
    <t>Саратовская область</t>
  </si>
  <si>
    <t xml:space="preserve">Сарата                   </t>
  </si>
  <si>
    <t xml:space="preserve">Сарата                  </t>
  </si>
  <si>
    <t>Одесская область</t>
  </si>
  <si>
    <t>Сарапул</t>
  </si>
  <si>
    <t xml:space="preserve">Сарапул                 </t>
  </si>
  <si>
    <t xml:space="preserve">Сарапул                  </t>
  </si>
  <si>
    <t>Удмуртская Республика</t>
  </si>
  <si>
    <t>Саранск</t>
  </si>
  <si>
    <t xml:space="preserve">Саранск                 </t>
  </si>
  <si>
    <t xml:space="preserve">Саранск                  </t>
  </si>
  <si>
    <t>Республика Мордовия</t>
  </si>
  <si>
    <t>Санкт-Петербург</t>
  </si>
  <si>
    <t xml:space="preserve">Санкт-Петербург         </t>
  </si>
  <si>
    <t xml:space="preserve">Санкт-Петербург          </t>
  </si>
  <si>
    <t xml:space="preserve">Сангар                   </t>
  </si>
  <si>
    <t xml:space="preserve">Сангар                  </t>
  </si>
  <si>
    <t xml:space="preserve">Самтредиа                </t>
  </si>
  <si>
    <t xml:space="preserve">Самтредиа               </t>
  </si>
  <si>
    <t>Самтредиа</t>
  </si>
  <si>
    <t xml:space="preserve">Самарканд                </t>
  </si>
  <si>
    <t xml:space="preserve">Самарканд               </t>
  </si>
  <si>
    <t>Самаркандская область</t>
  </si>
  <si>
    <t>Самара</t>
  </si>
  <si>
    <t xml:space="preserve">Самара                  </t>
  </si>
  <si>
    <t xml:space="preserve">Самара                   </t>
  </si>
  <si>
    <t>Самарская область</t>
  </si>
  <si>
    <t>Салехард</t>
  </si>
  <si>
    <t xml:space="preserve">Салехард                </t>
  </si>
  <si>
    <t xml:space="preserve">Салехард                 </t>
  </si>
  <si>
    <t xml:space="preserve">Сакара                   </t>
  </si>
  <si>
    <t xml:space="preserve">Сакара                  </t>
  </si>
  <si>
    <t>Сакара</t>
  </si>
  <si>
    <t>Савали</t>
  </si>
  <si>
    <t xml:space="preserve">Савали                  </t>
  </si>
  <si>
    <t xml:space="preserve">Савали                   </t>
  </si>
  <si>
    <t>Кировская область</t>
  </si>
  <si>
    <t>Рязань</t>
  </si>
  <si>
    <t xml:space="preserve">Рязань                  </t>
  </si>
  <si>
    <t xml:space="preserve">Рязань                   </t>
  </si>
  <si>
    <t>Рязанская область</t>
  </si>
  <si>
    <t>Рыбновск</t>
  </si>
  <si>
    <t xml:space="preserve">Рыбновск                </t>
  </si>
  <si>
    <t xml:space="preserve">Рыбновск                 </t>
  </si>
  <si>
    <t>Рудная Пристань</t>
  </si>
  <si>
    <t xml:space="preserve">Рудная Пристань         </t>
  </si>
  <si>
    <t xml:space="preserve">Рудная Пристань          </t>
  </si>
  <si>
    <t>Рубцовск</t>
  </si>
  <si>
    <t xml:space="preserve">Рубцовск                </t>
  </si>
  <si>
    <t xml:space="preserve">Рубцовск                 </t>
  </si>
  <si>
    <t>Ростов-на-Дону</t>
  </si>
  <si>
    <t xml:space="preserve">Ростов-на-Дону          </t>
  </si>
  <si>
    <t xml:space="preserve">Ростов-на-Дону           </t>
  </si>
  <si>
    <t xml:space="preserve">Ромны                    </t>
  </si>
  <si>
    <t xml:space="preserve">Ромны                   </t>
  </si>
  <si>
    <t>Родино</t>
  </si>
  <si>
    <t xml:space="preserve">Родино                  </t>
  </si>
  <si>
    <t xml:space="preserve">Родино                   </t>
  </si>
  <si>
    <t xml:space="preserve">Ровно                    </t>
  </si>
  <si>
    <t xml:space="preserve">Ровно                   </t>
  </si>
  <si>
    <t>Ржев</t>
  </si>
  <si>
    <t xml:space="preserve">Ржев                    </t>
  </si>
  <si>
    <t xml:space="preserve">Ржев                     </t>
  </si>
  <si>
    <t xml:space="preserve">Репетек                  </t>
  </si>
  <si>
    <t xml:space="preserve">Репетек                 </t>
  </si>
  <si>
    <t>Реболы</t>
  </si>
  <si>
    <t xml:space="preserve">Реболы                  </t>
  </si>
  <si>
    <t xml:space="preserve">Реболы                   </t>
  </si>
  <si>
    <t xml:space="preserve">Раздельное               </t>
  </si>
  <si>
    <t xml:space="preserve">Раздельное              </t>
  </si>
  <si>
    <t>Пятигорск</t>
  </si>
  <si>
    <t xml:space="preserve">Пятигорск               </t>
  </si>
  <si>
    <t xml:space="preserve">Пятигорск                </t>
  </si>
  <si>
    <t>Пялица</t>
  </si>
  <si>
    <t xml:space="preserve">Пялица                  </t>
  </si>
  <si>
    <t xml:space="preserve">Пялица                   </t>
  </si>
  <si>
    <t>Пулозеро</t>
  </si>
  <si>
    <t xml:space="preserve">Пулозеро                </t>
  </si>
  <si>
    <t xml:space="preserve">Пулозеро                 </t>
  </si>
  <si>
    <t xml:space="preserve">Псху                     </t>
  </si>
  <si>
    <t xml:space="preserve">Псху                    </t>
  </si>
  <si>
    <t>Псху</t>
  </si>
  <si>
    <t>Псков</t>
  </si>
  <si>
    <t xml:space="preserve">Псков                   </t>
  </si>
  <si>
    <t xml:space="preserve">Псков                    </t>
  </si>
  <si>
    <t>Псковская область</t>
  </si>
  <si>
    <t>Приморско-Ахтарск</t>
  </si>
  <si>
    <t xml:space="preserve">Приморско-Ахтарск       </t>
  </si>
  <si>
    <t xml:space="preserve">Приморско-Ахтарск        </t>
  </si>
  <si>
    <t>Преображенка</t>
  </si>
  <si>
    <t xml:space="preserve">Преображенка            </t>
  </si>
  <si>
    <t xml:space="preserve">Преображенка             </t>
  </si>
  <si>
    <t>Преображение</t>
  </si>
  <si>
    <t xml:space="preserve">Преображение            </t>
  </si>
  <si>
    <t xml:space="preserve">Преображение             </t>
  </si>
  <si>
    <t xml:space="preserve">Поярково </t>
  </si>
  <si>
    <t xml:space="preserve">Поярково                </t>
  </si>
  <si>
    <t xml:space="preserve">Поярково                 </t>
  </si>
  <si>
    <t xml:space="preserve">Поти                     </t>
  </si>
  <si>
    <t xml:space="preserve">Поти                    </t>
  </si>
  <si>
    <t>Поти</t>
  </si>
  <si>
    <t>Посьет</t>
  </si>
  <si>
    <t xml:space="preserve">Посьет                  </t>
  </si>
  <si>
    <t xml:space="preserve">Посьет                   </t>
  </si>
  <si>
    <t>Поронайск</t>
  </si>
  <si>
    <t xml:space="preserve">Поронайск               </t>
  </si>
  <si>
    <t xml:space="preserve">Поронайск                </t>
  </si>
  <si>
    <t>Порецкое</t>
  </si>
  <si>
    <t xml:space="preserve">Порецкое                </t>
  </si>
  <si>
    <t xml:space="preserve">Порецкое                 </t>
  </si>
  <si>
    <t xml:space="preserve">Полтава                  </t>
  </si>
  <si>
    <t xml:space="preserve">Полтава                 </t>
  </si>
  <si>
    <t>Полтавская область</t>
  </si>
  <si>
    <t xml:space="preserve">Полоцк                   </t>
  </si>
  <si>
    <t xml:space="preserve">Полоцк                  </t>
  </si>
  <si>
    <t>Полоцк</t>
  </si>
  <si>
    <t>Витебсая область</t>
  </si>
  <si>
    <t>Республика Беларусь</t>
  </si>
  <si>
    <t>Погиби</t>
  </si>
  <si>
    <t xml:space="preserve">Погиби                  </t>
  </si>
  <si>
    <t xml:space="preserve">Погиби                   </t>
  </si>
  <si>
    <t>Печора</t>
  </si>
  <si>
    <t xml:space="preserve">Печора                  </t>
  </si>
  <si>
    <t xml:space="preserve">Печора                   </t>
  </si>
  <si>
    <t>Петрунь</t>
  </si>
  <si>
    <t xml:space="preserve">Петрунь                 </t>
  </si>
  <si>
    <t xml:space="preserve">Петрунь                  </t>
  </si>
  <si>
    <t>Петропавловск-Камчатский</t>
  </si>
  <si>
    <t xml:space="preserve">Петропавловск-Камчатский </t>
  </si>
  <si>
    <t xml:space="preserve">Петропавловск            </t>
  </si>
  <si>
    <t xml:space="preserve">Петропавловск           </t>
  </si>
  <si>
    <t>Петрозаводск</t>
  </si>
  <si>
    <t xml:space="preserve">Петрозаводск            </t>
  </si>
  <si>
    <t xml:space="preserve">Петрозаводск             </t>
  </si>
  <si>
    <t>Пермь</t>
  </si>
  <si>
    <t xml:space="preserve">Пермь                   </t>
  </si>
  <si>
    <t xml:space="preserve">Пермь                    </t>
  </si>
  <si>
    <t>Перевоз</t>
  </si>
  <si>
    <t xml:space="preserve">Перевоз                 </t>
  </si>
  <si>
    <t xml:space="preserve">Перевоз                  </t>
  </si>
  <si>
    <t>Пенза</t>
  </si>
  <si>
    <t xml:space="preserve">Пенза                   </t>
  </si>
  <si>
    <t xml:space="preserve">Пенза                    </t>
  </si>
  <si>
    <t>Пензенская область</t>
  </si>
  <si>
    <t>Пенджикент</t>
  </si>
  <si>
    <t xml:space="preserve">Пенджикент           </t>
  </si>
  <si>
    <t>Партизанск</t>
  </si>
  <si>
    <t xml:space="preserve">Партизанск              </t>
  </si>
  <si>
    <t xml:space="preserve">Партизанск               </t>
  </si>
  <si>
    <t>Палатка</t>
  </si>
  <si>
    <t xml:space="preserve">Палатка                 </t>
  </si>
  <si>
    <t xml:space="preserve">Палатка                  </t>
  </si>
  <si>
    <t>Паданы</t>
  </si>
  <si>
    <t xml:space="preserve">Паданы                  </t>
  </si>
  <si>
    <t xml:space="preserve">Паданы                   </t>
  </si>
  <si>
    <t xml:space="preserve">Павлодар                 </t>
  </si>
  <si>
    <t xml:space="preserve">Павлодар                </t>
  </si>
  <si>
    <t>Павлодарская область</t>
  </si>
  <si>
    <t xml:space="preserve">Ош                       </t>
  </si>
  <si>
    <t xml:space="preserve">Ош                      </t>
  </si>
  <si>
    <t xml:space="preserve">Охотский Перевоз         </t>
  </si>
  <si>
    <t xml:space="preserve">Охотский Перевоз        </t>
  </si>
  <si>
    <t>Охотск</t>
  </si>
  <si>
    <t xml:space="preserve">Охотск                  </t>
  </si>
  <si>
    <t xml:space="preserve">Охотск                   </t>
  </si>
  <si>
    <t>Оха</t>
  </si>
  <si>
    <t xml:space="preserve">Оха                     </t>
  </si>
  <si>
    <t xml:space="preserve">Оха                      </t>
  </si>
  <si>
    <t>Островное</t>
  </si>
  <si>
    <t xml:space="preserve">Островное               </t>
  </si>
  <si>
    <t xml:space="preserve">Островное                </t>
  </si>
  <si>
    <t>Оссора - Корякский АО</t>
  </si>
  <si>
    <t xml:space="preserve">Оссора - Корякский АО   </t>
  </si>
  <si>
    <t xml:space="preserve">Оссора - Корякский АО    </t>
  </si>
  <si>
    <t>Орлинга</t>
  </si>
  <si>
    <t xml:space="preserve">Орлинга                 </t>
  </si>
  <si>
    <t xml:space="preserve">Орлинга                  </t>
  </si>
  <si>
    <t>Оренбург</t>
  </si>
  <si>
    <t xml:space="preserve">Оренбург                </t>
  </si>
  <si>
    <t xml:space="preserve">Оренбург                 </t>
  </si>
  <si>
    <t>Орел</t>
  </si>
  <si>
    <t xml:space="preserve">Орел                    </t>
  </si>
  <si>
    <t xml:space="preserve">Орел                     </t>
  </si>
  <si>
    <t>Орловская область</t>
  </si>
  <si>
    <t>Онега</t>
  </si>
  <si>
    <t xml:space="preserve">Онега                   </t>
  </si>
  <si>
    <t xml:space="preserve">Онега                    </t>
  </si>
  <si>
    <t>Архангельская область</t>
  </si>
  <si>
    <t>Онгудай</t>
  </si>
  <si>
    <t xml:space="preserve">Онгудай                 </t>
  </si>
  <si>
    <t xml:space="preserve">Онгудай                  </t>
  </si>
  <si>
    <t>Омсукчан</t>
  </si>
  <si>
    <t xml:space="preserve">Омсукчан                </t>
  </si>
  <si>
    <t xml:space="preserve">Омсукчан                 </t>
  </si>
  <si>
    <t>Омск</t>
  </si>
  <si>
    <t xml:space="preserve">Омск                    </t>
  </si>
  <si>
    <t xml:space="preserve">Омск                     </t>
  </si>
  <si>
    <t>Омолон</t>
  </si>
  <si>
    <t xml:space="preserve">Омолон                  </t>
  </si>
  <si>
    <t xml:space="preserve">Омолон                   </t>
  </si>
  <si>
    <t>Олонец</t>
  </si>
  <si>
    <t xml:space="preserve">Олонец                  </t>
  </si>
  <si>
    <t xml:space="preserve">Олонец                   </t>
  </si>
  <si>
    <t xml:space="preserve">Оленек                   </t>
  </si>
  <si>
    <t xml:space="preserve">Оленек                  </t>
  </si>
  <si>
    <t xml:space="preserve">Олекминск                </t>
  </si>
  <si>
    <t xml:space="preserve">Олекминск               </t>
  </si>
  <si>
    <t>Октябрьское</t>
  </si>
  <si>
    <t xml:space="preserve">Октябрьское             </t>
  </si>
  <si>
    <t xml:space="preserve">Октябрьское              </t>
  </si>
  <si>
    <t>Октябрьская</t>
  </si>
  <si>
    <t xml:space="preserve">Октябрьская             </t>
  </si>
  <si>
    <t xml:space="preserve">Октябрьская              </t>
  </si>
  <si>
    <t xml:space="preserve">Оймякон                  </t>
  </si>
  <si>
    <t xml:space="preserve">Оймякон                 </t>
  </si>
  <si>
    <t xml:space="preserve">Одесса                   </t>
  </si>
  <si>
    <t xml:space="preserve">Одесса                  </t>
  </si>
  <si>
    <t>Огорон</t>
  </si>
  <si>
    <t xml:space="preserve">Огорон                  </t>
  </si>
  <si>
    <t xml:space="preserve">Огорон                   </t>
  </si>
  <si>
    <t xml:space="preserve">Овруч                    </t>
  </si>
  <si>
    <t xml:space="preserve">Овруч                   </t>
  </si>
  <si>
    <t>Житомирская область</t>
  </si>
  <si>
    <t>Объячево</t>
  </si>
  <si>
    <t xml:space="preserve">Объячево                </t>
  </si>
  <si>
    <t xml:space="preserve">Объячево                 </t>
  </si>
  <si>
    <t>Облучье</t>
  </si>
  <si>
    <t xml:space="preserve">Облучье                 </t>
  </si>
  <si>
    <t xml:space="preserve">Облучье                  </t>
  </si>
  <si>
    <t>О.Беринга</t>
  </si>
  <si>
    <t xml:space="preserve">о.Беринга               </t>
  </si>
  <si>
    <t xml:space="preserve">о.Беринга                </t>
  </si>
  <si>
    <t>Нязепетровск</t>
  </si>
  <si>
    <t xml:space="preserve">Нязепетровск            </t>
  </si>
  <si>
    <t xml:space="preserve">Нязепетровск             </t>
  </si>
  <si>
    <t xml:space="preserve">Нюя                      </t>
  </si>
  <si>
    <t xml:space="preserve">Нюя                     </t>
  </si>
  <si>
    <t xml:space="preserve">Нюрба                    </t>
  </si>
  <si>
    <t xml:space="preserve">Нюрба                   </t>
  </si>
  <si>
    <t xml:space="preserve">Нурата                   </t>
  </si>
  <si>
    <t xml:space="preserve">Нурата                  </t>
  </si>
  <si>
    <t>Навсийская область</t>
  </si>
  <si>
    <t xml:space="preserve">Нукус                    </t>
  </si>
  <si>
    <t xml:space="preserve">Нукус                   </t>
  </si>
  <si>
    <t>Норск</t>
  </si>
  <si>
    <t xml:space="preserve">Норский Склад           </t>
  </si>
  <si>
    <t xml:space="preserve">Норский Склад            </t>
  </si>
  <si>
    <t>Ножовка</t>
  </si>
  <si>
    <t xml:space="preserve">           </t>
  </si>
  <si>
    <t xml:space="preserve">Ножовка                 </t>
  </si>
  <si>
    <t xml:space="preserve">Ножовка                  </t>
  </si>
  <si>
    <t>Ноглики</t>
  </si>
  <si>
    <t xml:space="preserve">Ноглики                 </t>
  </si>
  <si>
    <t xml:space="preserve">Ноглики                  </t>
  </si>
  <si>
    <t>Новосибирск</t>
  </si>
  <si>
    <t xml:space="preserve">Новосибирск             </t>
  </si>
  <si>
    <t xml:space="preserve">Новосибирск              </t>
  </si>
  <si>
    <t>Новоаннинский</t>
  </si>
  <si>
    <t xml:space="preserve">Новоаннинский           </t>
  </si>
  <si>
    <t xml:space="preserve">Новоаннинский            </t>
  </si>
  <si>
    <t>Никольск</t>
  </si>
  <si>
    <t xml:space="preserve">Никольск                </t>
  </si>
  <si>
    <t xml:space="preserve">Никольск                 </t>
  </si>
  <si>
    <t>Николаевск-на-Амуре</t>
  </si>
  <si>
    <t xml:space="preserve">Николаевск-на-Амуре     </t>
  </si>
  <si>
    <t xml:space="preserve">Николаевск-на-Амуре      </t>
  </si>
  <si>
    <t xml:space="preserve">Николаев                 </t>
  </si>
  <si>
    <t xml:space="preserve">Николаев                </t>
  </si>
  <si>
    <t>Николаевская область</t>
  </si>
  <si>
    <t>Нижний Новгород</t>
  </si>
  <si>
    <t xml:space="preserve">Нижний Новгород         </t>
  </si>
  <si>
    <t xml:space="preserve">Нижний Новгород          </t>
  </si>
  <si>
    <t>Нижегородская область</t>
  </si>
  <si>
    <t>Нижнетамбовское</t>
  </si>
  <si>
    <t xml:space="preserve">Нижнетамбовское         </t>
  </si>
  <si>
    <t xml:space="preserve">Нижнетамбовское          </t>
  </si>
  <si>
    <t>Нижнеангарск</t>
  </si>
  <si>
    <t xml:space="preserve">Нижнеангарск            </t>
  </si>
  <si>
    <t xml:space="preserve">Нижнеангарск             </t>
  </si>
  <si>
    <t>Ниванкюль</t>
  </si>
  <si>
    <t xml:space="preserve">Ниванкюль               </t>
  </si>
  <si>
    <t xml:space="preserve">Ниванкюль                </t>
  </si>
  <si>
    <t>Нерчинский Завод</t>
  </si>
  <si>
    <t xml:space="preserve">Нерчинский Завод        </t>
  </si>
  <si>
    <t xml:space="preserve">Нерчинский Завод         </t>
  </si>
  <si>
    <t>Нерчинск</t>
  </si>
  <si>
    <t xml:space="preserve">Нерчинск                </t>
  </si>
  <si>
    <t xml:space="preserve">Нерчинск                 </t>
  </si>
  <si>
    <t xml:space="preserve">Нера                     </t>
  </si>
  <si>
    <t xml:space="preserve">Нера                    </t>
  </si>
  <si>
    <t>Непа</t>
  </si>
  <si>
    <t xml:space="preserve">Непа                    </t>
  </si>
  <si>
    <t xml:space="preserve">Непа                     </t>
  </si>
  <si>
    <t>Невон</t>
  </si>
  <si>
    <t xml:space="preserve">Невон                   </t>
  </si>
  <si>
    <t xml:space="preserve">Невон                    </t>
  </si>
  <si>
    <t>Невинномысск</t>
  </si>
  <si>
    <t xml:space="preserve">Невинномысск            </t>
  </si>
  <si>
    <t xml:space="preserve">Невинномысск             </t>
  </si>
  <si>
    <t>Невельск</t>
  </si>
  <si>
    <t xml:space="preserve">Невельск                </t>
  </si>
  <si>
    <t xml:space="preserve">Невельск                 </t>
  </si>
  <si>
    <t xml:space="preserve">Небитдаг                 </t>
  </si>
  <si>
    <t xml:space="preserve">Небитдаг                </t>
  </si>
  <si>
    <t>Начики</t>
  </si>
  <si>
    <t xml:space="preserve">Начики                  </t>
  </si>
  <si>
    <t xml:space="preserve">Начики                   </t>
  </si>
  <si>
    <t xml:space="preserve">Нарьян-Мар               </t>
  </si>
  <si>
    <t xml:space="preserve">Нарьян-Мар              </t>
  </si>
  <si>
    <t xml:space="preserve">Нарын                    </t>
  </si>
  <si>
    <t xml:space="preserve">Нарын                   </t>
  </si>
  <si>
    <t xml:space="preserve">Наманган                 </t>
  </si>
  <si>
    <t xml:space="preserve">Наманган                </t>
  </si>
  <si>
    <t>Наманганская область</t>
  </si>
  <si>
    <t>Нальчик</t>
  </si>
  <si>
    <t xml:space="preserve">Нальчик                 </t>
  </si>
  <si>
    <t xml:space="preserve">Нальчик                  </t>
  </si>
  <si>
    <t>Бурятский АО Кабардино-Балкарская Республика</t>
  </si>
  <si>
    <t>Наканно</t>
  </si>
  <si>
    <t xml:space="preserve">Наканню                 </t>
  </si>
  <si>
    <t xml:space="preserve">Наканно                  </t>
  </si>
  <si>
    <t>Надым</t>
  </si>
  <si>
    <t xml:space="preserve">Надым                   </t>
  </si>
  <si>
    <t xml:space="preserve">Надым                    </t>
  </si>
  <si>
    <t>Нагорск</t>
  </si>
  <si>
    <t xml:space="preserve">Нагорское               </t>
  </si>
  <si>
    <t xml:space="preserve">Нагорское                </t>
  </si>
  <si>
    <t xml:space="preserve">Нагорный                 </t>
  </si>
  <si>
    <t xml:space="preserve">Нагорный                </t>
  </si>
  <si>
    <t xml:space="preserve">Навои                    </t>
  </si>
  <si>
    <t xml:space="preserve">Навои                   </t>
  </si>
  <si>
    <t>Муром</t>
  </si>
  <si>
    <t xml:space="preserve">Муром                   </t>
  </si>
  <si>
    <t xml:space="preserve">Муром                    </t>
  </si>
  <si>
    <t>Владимирская область</t>
  </si>
  <si>
    <t>Мурманск</t>
  </si>
  <si>
    <t xml:space="preserve">Мурманск                </t>
  </si>
  <si>
    <t xml:space="preserve">Мурманск                 </t>
  </si>
  <si>
    <t>Мургаб</t>
  </si>
  <si>
    <t xml:space="preserve">Мургаб               </t>
  </si>
  <si>
    <t xml:space="preserve">Муйнак                   </t>
  </si>
  <si>
    <t xml:space="preserve">Муйнак                  </t>
  </si>
  <si>
    <t xml:space="preserve">Мубарек                  </t>
  </si>
  <si>
    <t xml:space="preserve">Мубарек                 </t>
  </si>
  <si>
    <t>Кашкадарьинская область</t>
  </si>
  <si>
    <t xml:space="preserve">Мта-Сабуети              </t>
  </si>
  <si>
    <t xml:space="preserve">Мта-Сабуети             </t>
  </si>
  <si>
    <t>Мта-Сабуети</t>
  </si>
  <si>
    <t>Москва</t>
  </si>
  <si>
    <t xml:space="preserve">Москва                  </t>
  </si>
  <si>
    <t xml:space="preserve">Москва                   </t>
  </si>
  <si>
    <t>Московская область</t>
  </si>
  <si>
    <t>Мончегорск</t>
  </si>
  <si>
    <t xml:space="preserve">Мончегорск              </t>
  </si>
  <si>
    <t xml:space="preserve">Мончегорск               </t>
  </si>
  <si>
    <t>Монды</t>
  </si>
  <si>
    <t xml:space="preserve">Монды                   </t>
  </si>
  <si>
    <t xml:space="preserve">Монды                    </t>
  </si>
  <si>
    <t>Могоча</t>
  </si>
  <si>
    <t xml:space="preserve">Могоча                  </t>
  </si>
  <si>
    <t xml:space="preserve">Могоча                   </t>
  </si>
  <si>
    <t xml:space="preserve">Могилев                  </t>
  </si>
  <si>
    <t xml:space="preserve">Могилев                 </t>
  </si>
  <si>
    <t>Могилев</t>
  </si>
  <si>
    <t>Могилевская область</t>
  </si>
  <si>
    <t>Минусинск</t>
  </si>
  <si>
    <t xml:space="preserve">Минусинск               </t>
  </si>
  <si>
    <t xml:space="preserve">Минусинск                </t>
  </si>
  <si>
    <t xml:space="preserve">Минск                    </t>
  </si>
  <si>
    <t xml:space="preserve">Минск                   </t>
  </si>
  <si>
    <t>Минск</t>
  </si>
  <si>
    <t>Минская область</t>
  </si>
  <si>
    <t>Мильково</t>
  </si>
  <si>
    <t xml:space="preserve">Мильково                </t>
  </si>
  <si>
    <t xml:space="preserve">Мильково                 </t>
  </si>
  <si>
    <t>Миллерово</t>
  </si>
  <si>
    <t xml:space="preserve">Миллерово               </t>
  </si>
  <si>
    <t xml:space="preserve">Миллерово                </t>
  </si>
  <si>
    <t xml:space="preserve">Местиа                   </t>
  </si>
  <si>
    <t xml:space="preserve">Местиа                  </t>
  </si>
  <si>
    <t>Местиа</t>
  </si>
  <si>
    <t>Мельничное</t>
  </si>
  <si>
    <t xml:space="preserve">Мельничное              </t>
  </si>
  <si>
    <t xml:space="preserve">Мельничное               </t>
  </si>
  <si>
    <t>Мелеуз</t>
  </si>
  <si>
    <t xml:space="preserve">Мелеуз                  </t>
  </si>
  <si>
    <t xml:space="preserve">Мелеуз                   </t>
  </si>
  <si>
    <t>Мезень</t>
  </si>
  <si>
    <t xml:space="preserve">Мезень                  </t>
  </si>
  <si>
    <t xml:space="preserve">Мезень                   </t>
  </si>
  <si>
    <t>Махачкала</t>
  </si>
  <si>
    <t xml:space="preserve">Махачкала               </t>
  </si>
  <si>
    <t xml:space="preserve">Махачкала                </t>
  </si>
  <si>
    <t xml:space="preserve">Мары                     </t>
  </si>
  <si>
    <t xml:space="preserve">Мары                    </t>
  </si>
  <si>
    <t>Марресаля</t>
  </si>
  <si>
    <t xml:space="preserve">Марресаля               </t>
  </si>
  <si>
    <t xml:space="preserve">Марресаля                </t>
  </si>
  <si>
    <t>Марково</t>
  </si>
  <si>
    <t xml:space="preserve">Марково                 </t>
  </si>
  <si>
    <t xml:space="preserve">Марково                  </t>
  </si>
  <si>
    <t>Мариинск</t>
  </si>
  <si>
    <t xml:space="preserve">Мариинск                </t>
  </si>
  <si>
    <t xml:space="preserve">Мариинск                 </t>
  </si>
  <si>
    <t>Маргаритово</t>
  </si>
  <si>
    <t xml:space="preserve">Маргаритово             </t>
  </si>
  <si>
    <t xml:space="preserve">Маргаритово              </t>
  </si>
  <si>
    <t xml:space="preserve">Мамисонский перевал      </t>
  </si>
  <si>
    <t xml:space="preserve">Мамисонский перевал     </t>
  </si>
  <si>
    <t>Мамисонский перевал</t>
  </si>
  <si>
    <t>Мама</t>
  </si>
  <si>
    <t xml:space="preserve">Мама                    </t>
  </si>
  <si>
    <t xml:space="preserve">Мама                     </t>
  </si>
  <si>
    <t>Макаров</t>
  </si>
  <si>
    <t xml:space="preserve">Макаров                 </t>
  </si>
  <si>
    <t xml:space="preserve">Макаров                  </t>
  </si>
  <si>
    <t>Майкоп</t>
  </si>
  <si>
    <t xml:space="preserve">Майкоп                  </t>
  </si>
  <si>
    <t xml:space="preserve">Майкоп                   </t>
  </si>
  <si>
    <t>Республика Адыгея</t>
  </si>
  <si>
    <t>Магадан (Нагаева, бухта)</t>
  </si>
  <si>
    <t xml:space="preserve">Магадан (Нагаева, бухта) </t>
  </si>
  <si>
    <t xml:space="preserve">Любашевка                </t>
  </si>
  <si>
    <t xml:space="preserve">Любашевка               </t>
  </si>
  <si>
    <t xml:space="preserve">Львов                    </t>
  </si>
  <si>
    <t xml:space="preserve">Львов                   </t>
  </si>
  <si>
    <t>Львовская область</t>
  </si>
  <si>
    <t xml:space="preserve">Луцк                     </t>
  </si>
  <si>
    <t xml:space="preserve">Луцк                    </t>
  </si>
  <si>
    <t>Волынская область</t>
  </si>
  <si>
    <t xml:space="preserve">Луганск                  </t>
  </si>
  <si>
    <t xml:space="preserve">Луганск                 </t>
  </si>
  <si>
    <t>Луганская область</t>
  </si>
  <si>
    <t xml:space="preserve">Лубны                    </t>
  </si>
  <si>
    <t xml:space="preserve">Лубны                   </t>
  </si>
  <si>
    <t>Лоухи</t>
  </si>
  <si>
    <t xml:space="preserve">Лоухи                   </t>
  </si>
  <si>
    <t xml:space="preserve">Лоухи                    </t>
  </si>
  <si>
    <t>Лопатка, мыс</t>
  </si>
  <si>
    <t xml:space="preserve">Лопатка, мыс            </t>
  </si>
  <si>
    <t xml:space="preserve">Лопатка, мыс             </t>
  </si>
  <si>
    <t xml:space="preserve">Лозовая                  </t>
  </si>
  <si>
    <t xml:space="preserve">Лозовая                 </t>
  </si>
  <si>
    <t>Ловозеро</t>
  </si>
  <si>
    <t xml:space="preserve">Ловозеро                </t>
  </si>
  <si>
    <t xml:space="preserve">Ловозеро                 </t>
  </si>
  <si>
    <t>Липецк</t>
  </si>
  <si>
    <t xml:space="preserve">Липецк                  </t>
  </si>
  <si>
    <t xml:space="preserve">Липецк                   </t>
  </si>
  <si>
    <t>Липецкая область</t>
  </si>
  <si>
    <t>Леуши</t>
  </si>
  <si>
    <t xml:space="preserve">Леуши                   </t>
  </si>
  <si>
    <t xml:space="preserve">Леуши                    </t>
  </si>
  <si>
    <t xml:space="preserve">Ленск                    </t>
  </si>
  <si>
    <t xml:space="preserve">Ленск                   </t>
  </si>
  <si>
    <t xml:space="preserve">Лениногорск              </t>
  </si>
  <si>
    <t xml:space="preserve">Лениногорск             </t>
  </si>
  <si>
    <t>Кяхта</t>
  </si>
  <si>
    <t xml:space="preserve">Кяхта                   </t>
  </si>
  <si>
    <t xml:space="preserve">Кяхта                    </t>
  </si>
  <si>
    <t xml:space="preserve">Кюсюр                    </t>
  </si>
  <si>
    <t xml:space="preserve">Кюсюр                   </t>
  </si>
  <si>
    <t xml:space="preserve">Кюсюр  </t>
  </si>
  <si>
    <t>Кыштовка</t>
  </si>
  <si>
    <t xml:space="preserve">Кыштовка                </t>
  </si>
  <si>
    <t xml:space="preserve">Кыштовка                 </t>
  </si>
  <si>
    <t>Кызыл</t>
  </si>
  <si>
    <t xml:space="preserve">Кызыл                   </t>
  </si>
  <si>
    <t xml:space="preserve">Кызыл                    </t>
  </si>
  <si>
    <t>Республика Тыва</t>
  </si>
  <si>
    <t xml:space="preserve">Кушка                    </t>
  </si>
  <si>
    <t xml:space="preserve">Кушка                   </t>
  </si>
  <si>
    <t xml:space="preserve">Кустанай                 </t>
  </si>
  <si>
    <t xml:space="preserve">Кустанай                </t>
  </si>
  <si>
    <t>Кустанайская область</t>
  </si>
  <si>
    <t>Курск</t>
  </si>
  <si>
    <t xml:space="preserve">Курск                   </t>
  </si>
  <si>
    <t xml:space="preserve">Курск                    </t>
  </si>
  <si>
    <t>Курская область</t>
  </si>
  <si>
    <t>Курильск</t>
  </si>
  <si>
    <t xml:space="preserve">Курильск                </t>
  </si>
  <si>
    <t xml:space="preserve">Курильск                 </t>
  </si>
  <si>
    <t>Курган-Тюбе</t>
  </si>
  <si>
    <t xml:space="preserve">Курган-Тюбе          </t>
  </si>
  <si>
    <t>Курган</t>
  </si>
  <si>
    <t xml:space="preserve">Курган                  </t>
  </si>
  <si>
    <t xml:space="preserve">Курган                   </t>
  </si>
  <si>
    <t>Курганская область</t>
  </si>
  <si>
    <t>Купино</t>
  </si>
  <si>
    <t xml:space="preserve">Купино                  </t>
  </si>
  <si>
    <t xml:space="preserve">Купино                   </t>
  </si>
  <si>
    <t>Куляб</t>
  </si>
  <si>
    <t xml:space="preserve">Куляб                </t>
  </si>
  <si>
    <t>Кувандык</t>
  </si>
  <si>
    <t xml:space="preserve">Кувандык                </t>
  </si>
  <si>
    <t xml:space="preserve">Кувандык                 </t>
  </si>
  <si>
    <t>Кроноки</t>
  </si>
  <si>
    <t xml:space="preserve">Кроноки                 </t>
  </si>
  <si>
    <t xml:space="preserve">Кроноки                  </t>
  </si>
  <si>
    <t xml:space="preserve">Кривой Рог               </t>
  </si>
  <si>
    <t xml:space="preserve">Кривой Рог              </t>
  </si>
  <si>
    <t>Днепропетровская область</t>
  </si>
  <si>
    <t xml:space="preserve">Крест-Хальджай           </t>
  </si>
  <si>
    <t xml:space="preserve">Крест-Хальджай          </t>
  </si>
  <si>
    <t xml:space="preserve">Крестовый перевал        </t>
  </si>
  <si>
    <t xml:space="preserve">Крестовый перевал       </t>
  </si>
  <si>
    <t>Крестовый перевал</t>
  </si>
  <si>
    <t>Красный Яр</t>
  </si>
  <si>
    <t xml:space="preserve">Красный Яр              </t>
  </si>
  <si>
    <t xml:space="preserve">Красный Яр               </t>
  </si>
  <si>
    <t>Красный Чикой</t>
  </si>
  <si>
    <t xml:space="preserve">Красный Чикой           </t>
  </si>
  <si>
    <t xml:space="preserve">Красный Чикой            </t>
  </si>
  <si>
    <t>Красноярск</t>
  </si>
  <si>
    <t xml:space="preserve">Красноярск              </t>
  </si>
  <si>
    <t xml:space="preserve">Красноярск               </t>
  </si>
  <si>
    <t>Краснощелье</t>
  </si>
  <si>
    <t xml:space="preserve">Краснощелье             </t>
  </si>
  <si>
    <t xml:space="preserve">Краснощелье              </t>
  </si>
  <si>
    <t>Краснодар</t>
  </si>
  <si>
    <t xml:space="preserve">Краснодар               </t>
  </si>
  <si>
    <t xml:space="preserve">Краснодар                </t>
  </si>
  <si>
    <t>Красная Поляна</t>
  </si>
  <si>
    <t xml:space="preserve">Красная Поляна          </t>
  </si>
  <si>
    <t xml:space="preserve">Красная Поляна           </t>
  </si>
  <si>
    <t>Кош-Агач</t>
  </si>
  <si>
    <t xml:space="preserve">Кош-Агач                </t>
  </si>
  <si>
    <t xml:space="preserve">Кош-Агач                 </t>
  </si>
  <si>
    <t xml:space="preserve">Кочкорка                 </t>
  </si>
  <si>
    <t xml:space="preserve">Кочкорка                </t>
  </si>
  <si>
    <t>Кочки</t>
  </si>
  <si>
    <t xml:space="preserve">Кочки                   </t>
  </si>
  <si>
    <t xml:space="preserve">Кочки                    </t>
  </si>
  <si>
    <t>Котлас</t>
  </si>
  <si>
    <t xml:space="preserve">Котлас                  </t>
  </si>
  <si>
    <t xml:space="preserve">Котлас                   </t>
  </si>
  <si>
    <t xml:space="preserve">Коткино                  </t>
  </si>
  <si>
    <t xml:space="preserve">Коткино                 </t>
  </si>
  <si>
    <t>Котельниково</t>
  </si>
  <si>
    <t xml:space="preserve">Котельниково            </t>
  </si>
  <si>
    <t xml:space="preserve">Котельниково             </t>
  </si>
  <si>
    <t>Костычевка</t>
  </si>
  <si>
    <t xml:space="preserve">Костычевка              </t>
  </si>
  <si>
    <t xml:space="preserve">Костычевка               </t>
  </si>
  <si>
    <t>Кострома</t>
  </si>
  <si>
    <t xml:space="preserve">Кострома                </t>
  </si>
  <si>
    <t xml:space="preserve">Кострома                 </t>
  </si>
  <si>
    <t>Корф - Корякский АО</t>
  </si>
  <si>
    <t xml:space="preserve">Корф - Корякский АО     </t>
  </si>
  <si>
    <t xml:space="preserve">Корф - Корякский АО      </t>
  </si>
  <si>
    <t>Корсаков</t>
  </si>
  <si>
    <t xml:space="preserve">Корсаков                </t>
  </si>
  <si>
    <t xml:space="preserve">Корсаков                 </t>
  </si>
  <si>
    <t>Кондома</t>
  </si>
  <si>
    <t xml:space="preserve">Кондома                 </t>
  </si>
  <si>
    <t xml:space="preserve">Кондома                  </t>
  </si>
  <si>
    <t>Кондинское</t>
  </si>
  <si>
    <t xml:space="preserve">Кондинское -            </t>
  </si>
  <si>
    <t xml:space="preserve">Кондинское -             </t>
  </si>
  <si>
    <t>Комсомольск-на-Амуре</t>
  </si>
  <si>
    <t xml:space="preserve">Комсомольск-на-Амуре    </t>
  </si>
  <si>
    <t xml:space="preserve">Комсомольск-на-Амуре     </t>
  </si>
  <si>
    <t xml:space="preserve">Комиссаровка             </t>
  </si>
  <si>
    <t xml:space="preserve">Комиссаровка            </t>
  </si>
  <si>
    <t>Колпашево</t>
  </si>
  <si>
    <t xml:space="preserve">Колпашево               </t>
  </si>
  <si>
    <t xml:space="preserve">Колпашево                </t>
  </si>
  <si>
    <t xml:space="preserve">Кокчетав                 </t>
  </si>
  <si>
    <t xml:space="preserve">Кокчетав                </t>
  </si>
  <si>
    <t>Кокчетавская область</t>
  </si>
  <si>
    <t xml:space="preserve">Кокпекты                 </t>
  </si>
  <si>
    <t xml:space="preserve">Кокпекты                </t>
  </si>
  <si>
    <t xml:space="preserve">Коканд                   </t>
  </si>
  <si>
    <t xml:space="preserve">Коканд                  </t>
  </si>
  <si>
    <t>Койнас</t>
  </si>
  <si>
    <t xml:space="preserve">Койнас                  </t>
  </si>
  <si>
    <t xml:space="preserve">Койнас                   </t>
  </si>
  <si>
    <t>Козыревск</t>
  </si>
  <si>
    <t xml:space="preserve">Козыревск               </t>
  </si>
  <si>
    <t xml:space="preserve">Козыревск                </t>
  </si>
  <si>
    <t xml:space="preserve">Ковель                   </t>
  </si>
  <si>
    <t xml:space="preserve">Ковель                  </t>
  </si>
  <si>
    <t>Ковдор</t>
  </si>
  <si>
    <t xml:space="preserve">Ковдор                  </t>
  </si>
  <si>
    <t xml:space="preserve">Ковдор                   </t>
  </si>
  <si>
    <t>Ключи</t>
  </si>
  <si>
    <t xml:space="preserve">Ключи                   </t>
  </si>
  <si>
    <t xml:space="preserve">Ключи                    </t>
  </si>
  <si>
    <t xml:space="preserve">Клепинино                </t>
  </si>
  <si>
    <t xml:space="preserve">Клепинино               </t>
  </si>
  <si>
    <t xml:space="preserve">Кишинев                  </t>
  </si>
  <si>
    <t xml:space="preserve">Кишинев                 </t>
  </si>
  <si>
    <t>Республика Молдова</t>
  </si>
  <si>
    <t>Кисловодск</t>
  </si>
  <si>
    <t xml:space="preserve">Кисловодск              </t>
  </si>
  <si>
    <t xml:space="preserve">  -2.4  </t>
  </si>
  <si>
    <t xml:space="preserve">Кисловодск               </t>
  </si>
  <si>
    <t>Киселевск</t>
  </si>
  <si>
    <t xml:space="preserve">Киселевск               </t>
  </si>
  <si>
    <t xml:space="preserve">Киселевск                </t>
  </si>
  <si>
    <t>Кировское</t>
  </si>
  <si>
    <t xml:space="preserve">Кировское               </t>
  </si>
  <si>
    <t xml:space="preserve">Кировское                </t>
  </si>
  <si>
    <t>Кировский</t>
  </si>
  <si>
    <t xml:space="preserve">Кировский               </t>
  </si>
  <si>
    <t xml:space="preserve">Кировский                </t>
  </si>
  <si>
    <t xml:space="preserve">Кировоград               </t>
  </si>
  <si>
    <t xml:space="preserve">Кировоград              </t>
  </si>
  <si>
    <t>Кировоградская область</t>
  </si>
  <si>
    <t>Киров</t>
  </si>
  <si>
    <t xml:space="preserve">Киров                   </t>
  </si>
  <si>
    <t xml:space="preserve">Киров                    </t>
  </si>
  <si>
    <t xml:space="preserve">Кирилловка               </t>
  </si>
  <si>
    <t xml:space="preserve">Кирилловка              </t>
  </si>
  <si>
    <t>Запорожская область</t>
  </si>
  <si>
    <t>Киренск</t>
  </si>
  <si>
    <t xml:space="preserve">Киренск                 </t>
  </si>
  <si>
    <t xml:space="preserve">Киренск                  </t>
  </si>
  <si>
    <t>Кинешма</t>
  </si>
  <si>
    <t xml:space="preserve">Кинешма                 </t>
  </si>
  <si>
    <t xml:space="preserve">Кинешма                  </t>
  </si>
  <si>
    <t>Ивановская область</t>
  </si>
  <si>
    <t xml:space="preserve">Кизилатрек               </t>
  </si>
  <si>
    <t xml:space="preserve">Кизилатрек              </t>
  </si>
  <si>
    <t xml:space="preserve">Кизиларват               </t>
  </si>
  <si>
    <t xml:space="preserve">Кизиларват              </t>
  </si>
  <si>
    <t xml:space="preserve">Киев                     </t>
  </si>
  <si>
    <t xml:space="preserve">Киев                    </t>
  </si>
  <si>
    <t>Киевская область</t>
  </si>
  <si>
    <t xml:space="preserve">Кзыл-Орда                </t>
  </si>
  <si>
    <t xml:space="preserve"> С; СВ</t>
  </si>
  <si>
    <t xml:space="preserve">Кзыл-Орда               </t>
  </si>
  <si>
    <t>Кзыл-Ординская область</t>
  </si>
  <si>
    <t xml:space="preserve">Керки                    </t>
  </si>
  <si>
    <t xml:space="preserve">Керки                   </t>
  </si>
  <si>
    <t>Кемь</t>
  </si>
  <si>
    <t xml:space="preserve">Кемь                    </t>
  </si>
  <si>
    <t xml:space="preserve">Кемь                     </t>
  </si>
  <si>
    <t>Кемерово</t>
  </si>
  <si>
    <t xml:space="preserve">Кемерово                </t>
  </si>
  <si>
    <t xml:space="preserve">Кемерово                 </t>
  </si>
  <si>
    <t>Кежма</t>
  </si>
  <si>
    <t xml:space="preserve">Кежма                   </t>
  </si>
  <si>
    <t xml:space="preserve">Кежма                    </t>
  </si>
  <si>
    <t>Кашира</t>
  </si>
  <si>
    <t xml:space="preserve">Кашира                  </t>
  </si>
  <si>
    <t xml:space="preserve">Кашира                   </t>
  </si>
  <si>
    <t xml:space="preserve">Кафан                    </t>
  </si>
  <si>
    <t xml:space="preserve">Кафан                   </t>
  </si>
  <si>
    <t>Кафан</t>
  </si>
  <si>
    <t xml:space="preserve">Каттакурган              </t>
  </si>
  <si>
    <t xml:space="preserve">Каттакурган             </t>
  </si>
  <si>
    <t xml:space="preserve">Катон-Карагай            </t>
  </si>
  <si>
    <t xml:space="preserve">Катон-Карагай           </t>
  </si>
  <si>
    <t>Катанда</t>
  </si>
  <si>
    <t xml:space="preserve">Катанда                 </t>
  </si>
  <si>
    <t xml:space="preserve">Катанда                  </t>
  </si>
  <si>
    <t xml:space="preserve">Касансай                 </t>
  </si>
  <si>
    <t xml:space="preserve">Касансай                </t>
  </si>
  <si>
    <t xml:space="preserve">Карсакпай                </t>
  </si>
  <si>
    <t xml:space="preserve">Карсакпай               </t>
  </si>
  <si>
    <t>Джезказганская область</t>
  </si>
  <si>
    <t xml:space="preserve">Каркаралинск             </t>
  </si>
  <si>
    <t xml:space="preserve">Каркаралинск            </t>
  </si>
  <si>
    <t>Карагандинская область</t>
  </si>
  <si>
    <t xml:space="preserve">Караулкельды             </t>
  </si>
  <si>
    <t xml:space="preserve"> З; СЗ</t>
  </si>
  <si>
    <t xml:space="preserve">Караулкельды            </t>
  </si>
  <si>
    <t>Карасук</t>
  </si>
  <si>
    <t xml:space="preserve">Карасук                 </t>
  </si>
  <si>
    <t xml:space="preserve">Карасук                  </t>
  </si>
  <si>
    <t xml:space="preserve">Каракол                  </t>
  </si>
  <si>
    <t xml:space="preserve">Каракол                 </t>
  </si>
  <si>
    <t xml:space="preserve">Каракалпакия             </t>
  </si>
  <si>
    <t xml:space="preserve">Каракалпакия            </t>
  </si>
  <si>
    <t xml:space="preserve">Караганда                </t>
  </si>
  <si>
    <t xml:space="preserve">Караганда               </t>
  </si>
  <si>
    <t>Канск</t>
  </si>
  <si>
    <t xml:space="preserve">Канск                   </t>
  </si>
  <si>
    <t xml:space="preserve">Канск                    </t>
  </si>
  <si>
    <t xml:space="preserve">Канин Нос                </t>
  </si>
  <si>
    <t xml:space="preserve">Канин Нос               </t>
  </si>
  <si>
    <t>Кандалакша</t>
  </si>
  <si>
    <t xml:space="preserve">Кандалакша              </t>
  </si>
  <si>
    <t xml:space="preserve">Кандалакша               </t>
  </si>
  <si>
    <t>Камышин</t>
  </si>
  <si>
    <t xml:space="preserve">Камышин                 </t>
  </si>
  <si>
    <t xml:space="preserve">   CB    </t>
  </si>
  <si>
    <t xml:space="preserve">Камышин                  </t>
  </si>
  <si>
    <t xml:space="preserve">Камо                     </t>
  </si>
  <si>
    <t xml:space="preserve">Камо                    </t>
  </si>
  <si>
    <t>Камо</t>
  </si>
  <si>
    <t>Каменск-Уральский</t>
  </si>
  <si>
    <t xml:space="preserve">Каменск-Уральский       </t>
  </si>
  <si>
    <t xml:space="preserve">Каменск-Уральский        </t>
  </si>
  <si>
    <t>Калуга</t>
  </si>
  <si>
    <t xml:space="preserve">Калуга                  </t>
  </si>
  <si>
    <t xml:space="preserve">Калуга                   </t>
  </si>
  <si>
    <t>Калужская область</t>
  </si>
  <si>
    <t>Калининград</t>
  </si>
  <si>
    <t xml:space="preserve">Калининград             </t>
  </si>
  <si>
    <t xml:space="preserve">Калининград              </t>
  </si>
  <si>
    <t>Калининградская область</t>
  </si>
  <si>
    <t>Калакан</t>
  </si>
  <si>
    <t xml:space="preserve">Калакан                 </t>
  </si>
  <si>
    <t xml:space="preserve">Калакан                  </t>
  </si>
  <si>
    <t xml:space="preserve">Казбеги                  </t>
  </si>
  <si>
    <t xml:space="preserve">Казбеги                 </t>
  </si>
  <si>
    <t>Казбеги</t>
  </si>
  <si>
    <t>Казань</t>
  </si>
  <si>
    <t xml:space="preserve">Казань                  </t>
  </si>
  <si>
    <t xml:space="preserve">Казань                   </t>
  </si>
  <si>
    <t>Республика Татарстан</t>
  </si>
  <si>
    <t xml:space="preserve">Казанджик                </t>
  </si>
  <si>
    <t xml:space="preserve">Казанджик               </t>
  </si>
  <si>
    <t xml:space="preserve">Казалинск                </t>
  </si>
  <si>
    <t xml:space="preserve">Казалинск               </t>
  </si>
  <si>
    <t>Йошкар-Ола</t>
  </si>
  <si>
    <t xml:space="preserve">Йошкар-Ола              </t>
  </si>
  <si>
    <t xml:space="preserve">Йошкар-Ола               </t>
  </si>
  <si>
    <t>Республика Мария Эл</t>
  </si>
  <si>
    <t xml:space="preserve">Иэма                     </t>
  </si>
  <si>
    <t xml:space="preserve">Иэма                    </t>
  </si>
  <si>
    <t>Ичера</t>
  </si>
  <si>
    <t xml:space="preserve">Ичера                   </t>
  </si>
  <si>
    <t xml:space="preserve">Ичера                    </t>
  </si>
  <si>
    <t>Ича - Корякский АО</t>
  </si>
  <si>
    <t xml:space="preserve">Ича - Корякский АО      </t>
  </si>
  <si>
    <t xml:space="preserve">Ича - Корякский АО       </t>
  </si>
  <si>
    <t>Исфара</t>
  </si>
  <si>
    <t xml:space="preserve">Исфара               </t>
  </si>
  <si>
    <t xml:space="preserve">Исить                    </t>
  </si>
  <si>
    <t xml:space="preserve">Исить                   </t>
  </si>
  <si>
    <t>Исиль-Куль</t>
  </si>
  <si>
    <t xml:space="preserve">Исиль-Куль              </t>
  </si>
  <si>
    <t xml:space="preserve">Исиль-Куль               </t>
  </si>
  <si>
    <t>Иркутск</t>
  </si>
  <si>
    <t xml:space="preserve">Иркутск                 </t>
  </si>
  <si>
    <t xml:space="preserve">Иркутск                  </t>
  </si>
  <si>
    <t xml:space="preserve">Иолотань                 </t>
  </si>
  <si>
    <t xml:space="preserve">Иолотань                </t>
  </si>
  <si>
    <t xml:space="preserve">Индига                   </t>
  </si>
  <si>
    <t xml:space="preserve">Индига                  </t>
  </si>
  <si>
    <t>Им. Полины Осипенко</t>
  </si>
  <si>
    <t xml:space="preserve">Им. Полины Осипенко     </t>
  </si>
  <si>
    <t xml:space="preserve">Им.Полины Осипенко       </t>
  </si>
  <si>
    <t>Илимск</t>
  </si>
  <si>
    <t xml:space="preserve">Илимск                  </t>
  </si>
  <si>
    <t xml:space="preserve">Илимск                   </t>
  </si>
  <si>
    <t>Ика</t>
  </si>
  <si>
    <t xml:space="preserve">Ика                     </t>
  </si>
  <si>
    <t xml:space="preserve">Ика                      </t>
  </si>
  <si>
    <t xml:space="preserve">Измаил                   </t>
  </si>
  <si>
    <t xml:space="preserve">Измаил                  </t>
  </si>
  <si>
    <t>Ижевск</t>
  </si>
  <si>
    <t xml:space="preserve">Ижевск                  </t>
  </si>
  <si>
    <t xml:space="preserve">Ижевск                   </t>
  </si>
  <si>
    <t>Игарка</t>
  </si>
  <si>
    <t xml:space="preserve">Игарка                  </t>
  </si>
  <si>
    <t xml:space="preserve">Игарка                   </t>
  </si>
  <si>
    <t>Ивдель</t>
  </si>
  <si>
    <t xml:space="preserve">Ивдель                  </t>
  </si>
  <si>
    <t xml:space="preserve">Ивдель                   </t>
  </si>
  <si>
    <t xml:space="preserve">Ивано-Франковск          </t>
  </si>
  <si>
    <t xml:space="preserve">Ивано-Франковск         </t>
  </si>
  <si>
    <t>Ивано-Франковская область</t>
  </si>
  <si>
    <t>Иваново</t>
  </si>
  <si>
    <t xml:space="preserve">Иваново                 </t>
  </si>
  <si>
    <t xml:space="preserve">Иваново                  </t>
  </si>
  <si>
    <t xml:space="preserve">Зыряновск                </t>
  </si>
  <si>
    <t xml:space="preserve">Зыряновск               </t>
  </si>
  <si>
    <t xml:space="preserve">Зырянка                  </t>
  </si>
  <si>
    <t xml:space="preserve">Зырянка                 </t>
  </si>
  <si>
    <t xml:space="preserve">Золотоноша               </t>
  </si>
  <si>
    <t xml:space="preserve">Золотоноша              </t>
  </si>
  <si>
    <t xml:space="preserve">Знаменка                 </t>
  </si>
  <si>
    <t xml:space="preserve">Знаменка                </t>
  </si>
  <si>
    <t>Змеиногорск</t>
  </si>
  <si>
    <t xml:space="preserve">Змеиногорск             </t>
  </si>
  <si>
    <t xml:space="preserve">Змеиногорск              </t>
  </si>
  <si>
    <t>Зима</t>
  </si>
  <si>
    <t xml:space="preserve">Зима                    </t>
  </si>
  <si>
    <t xml:space="preserve">Зима                     </t>
  </si>
  <si>
    <t>Зея</t>
  </si>
  <si>
    <t xml:space="preserve">Зея                     </t>
  </si>
  <si>
    <t xml:space="preserve">Зея                      </t>
  </si>
  <si>
    <t>Земетчино</t>
  </si>
  <si>
    <t xml:space="preserve">Земетчино               </t>
  </si>
  <si>
    <t xml:space="preserve">Земетчино                </t>
  </si>
  <si>
    <t xml:space="preserve">Запорожье                </t>
  </si>
  <si>
    <t xml:space="preserve">Запорожье               </t>
  </si>
  <si>
    <t xml:space="preserve">Зайсан                   </t>
  </si>
  <si>
    <t xml:space="preserve">Зайсан                  </t>
  </si>
  <si>
    <t>Завитинск</t>
  </si>
  <si>
    <t xml:space="preserve">Завитинск               </t>
  </si>
  <si>
    <t xml:space="preserve">Завитинск                </t>
  </si>
  <si>
    <t xml:space="preserve">Житомир                  </t>
  </si>
  <si>
    <t xml:space="preserve">Житомир                 </t>
  </si>
  <si>
    <t xml:space="preserve">Жиганск                  </t>
  </si>
  <si>
    <t xml:space="preserve">Жиганск                 </t>
  </si>
  <si>
    <t>Жигалово</t>
  </si>
  <si>
    <t xml:space="preserve">Жигалово                </t>
  </si>
  <si>
    <t xml:space="preserve">Жигалово                 </t>
  </si>
  <si>
    <t xml:space="preserve">Жаркент                  </t>
  </si>
  <si>
    <t xml:space="preserve">Жаркент                 </t>
  </si>
  <si>
    <t xml:space="preserve">Ехегнадзор               </t>
  </si>
  <si>
    <t xml:space="preserve">Ехегнадзор              </t>
  </si>
  <si>
    <t>Ехегнадзор</t>
  </si>
  <si>
    <t>Ессей - Эвенкийский  АО</t>
  </si>
  <si>
    <t xml:space="preserve">Ессей - Эвенкийский АО  </t>
  </si>
  <si>
    <t xml:space="preserve">Ессей - Эвенкийский АО   </t>
  </si>
  <si>
    <t>Ерофей Павлович</t>
  </si>
  <si>
    <t xml:space="preserve">Ерофей Павлович         </t>
  </si>
  <si>
    <t xml:space="preserve">Ерофей Павлович          </t>
  </si>
  <si>
    <t xml:space="preserve">Ереван                   </t>
  </si>
  <si>
    <t xml:space="preserve">Ереван                  </t>
  </si>
  <si>
    <t>Ереван</t>
  </si>
  <si>
    <t>Ербогачен</t>
  </si>
  <si>
    <t xml:space="preserve">Ербогачен               </t>
  </si>
  <si>
    <t xml:space="preserve">Ербогачен                </t>
  </si>
  <si>
    <t>Енисейск</t>
  </si>
  <si>
    <t xml:space="preserve">Енисейск                </t>
  </si>
  <si>
    <t xml:space="preserve">Енисейск                 </t>
  </si>
  <si>
    <t>Емецк</t>
  </si>
  <si>
    <t xml:space="preserve">Емецк                   </t>
  </si>
  <si>
    <t xml:space="preserve">Емецк                    </t>
  </si>
  <si>
    <t>Елабуга</t>
  </si>
  <si>
    <t xml:space="preserve">Елабуга                 </t>
  </si>
  <si>
    <t xml:space="preserve">Елабуга                  </t>
  </si>
  <si>
    <t xml:space="preserve">Екючю                    </t>
  </si>
  <si>
    <t xml:space="preserve">Екючю                   </t>
  </si>
  <si>
    <t>Екатерино-Никольское</t>
  </si>
  <si>
    <t xml:space="preserve">Екатерино-Никольское    </t>
  </si>
  <si>
    <t xml:space="preserve">Екатерино-Никольское     </t>
  </si>
  <si>
    <t>Екатеринбург</t>
  </si>
  <si>
    <t xml:space="preserve">Екатеринбург            </t>
  </si>
  <si>
    <t xml:space="preserve">Екатеринбург             </t>
  </si>
  <si>
    <t xml:space="preserve">Душанбе   </t>
  </si>
  <si>
    <t xml:space="preserve">Душанбе                 </t>
  </si>
  <si>
    <t xml:space="preserve">Душанбе              </t>
  </si>
  <si>
    <t>Районы республиканского подчинения</t>
  </si>
  <si>
    <t>Дудинка - Таймырский АО</t>
  </si>
  <si>
    <t xml:space="preserve">Дудинка - Таймырский АО </t>
  </si>
  <si>
    <t xml:space="preserve">Дудинка - Таймырский АО  </t>
  </si>
  <si>
    <t>Дуван</t>
  </si>
  <si>
    <t xml:space="preserve">Дуван                   </t>
  </si>
  <si>
    <t xml:space="preserve">Дуван                    </t>
  </si>
  <si>
    <t>Дубровское</t>
  </si>
  <si>
    <t xml:space="preserve">Дубровское              </t>
  </si>
  <si>
    <t xml:space="preserve">Дубровское               </t>
  </si>
  <si>
    <t xml:space="preserve">Дружина                  </t>
  </si>
  <si>
    <t xml:space="preserve">Дружина                 </t>
  </si>
  <si>
    <t xml:space="preserve">Донецк                   </t>
  </si>
  <si>
    <t xml:space="preserve">Донецк                  </t>
  </si>
  <si>
    <t>Донецкая область</t>
  </si>
  <si>
    <t>Долинск</t>
  </si>
  <si>
    <t xml:space="preserve">Долинск                 </t>
  </si>
  <si>
    <t xml:space="preserve">Долинск                  </t>
  </si>
  <si>
    <t xml:space="preserve">Днепропетровск           </t>
  </si>
  <si>
    <t xml:space="preserve">Днепропетровск          </t>
  </si>
  <si>
    <t>Дмитров</t>
  </si>
  <si>
    <t xml:space="preserve">Дмитров                 </t>
  </si>
  <si>
    <t xml:space="preserve">Дмитров                  </t>
  </si>
  <si>
    <t>Диксон - Таймырский  АО</t>
  </si>
  <si>
    <t xml:space="preserve">Диксон - Таймырский АО  </t>
  </si>
  <si>
    <t xml:space="preserve">Диксон - Таймырский АО   </t>
  </si>
  <si>
    <t xml:space="preserve">Джикимда                 </t>
  </si>
  <si>
    <t xml:space="preserve">Джикимда                </t>
  </si>
  <si>
    <t xml:space="preserve">Джизак                   </t>
  </si>
  <si>
    <t xml:space="preserve">Джизак                  </t>
  </si>
  <si>
    <t>Джизагская область</t>
  </si>
  <si>
    <t xml:space="preserve">Джарджан                 </t>
  </si>
  <si>
    <t xml:space="preserve">Джарджан                </t>
  </si>
  <si>
    <t>Джаорэ</t>
  </si>
  <si>
    <t xml:space="preserve">Джаорэ                  </t>
  </si>
  <si>
    <t xml:space="preserve">Джаорэ                   </t>
  </si>
  <si>
    <t xml:space="preserve">Джамбул                  </t>
  </si>
  <si>
    <t xml:space="preserve">Джамбул                 </t>
  </si>
  <si>
    <t xml:space="preserve">Джамбейты                </t>
  </si>
  <si>
    <t xml:space="preserve">Джамбейты               </t>
  </si>
  <si>
    <t xml:space="preserve">Джалинда                 </t>
  </si>
  <si>
    <t xml:space="preserve">Джалинда                </t>
  </si>
  <si>
    <t>Дербент</t>
  </si>
  <si>
    <t xml:space="preserve">Дербент                 </t>
  </si>
  <si>
    <t xml:space="preserve">Дербент                  </t>
  </si>
  <si>
    <t xml:space="preserve">Денау                    </t>
  </si>
  <si>
    <t xml:space="preserve">Денау                   </t>
  </si>
  <si>
    <t>Демьянское - Ханты-Мансийский АО</t>
  </si>
  <si>
    <t xml:space="preserve">Демьянское              </t>
  </si>
  <si>
    <t xml:space="preserve">Демьянское               </t>
  </si>
  <si>
    <t>Де-Кастри</t>
  </si>
  <si>
    <t xml:space="preserve">Де-Кастри               </t>
  </si>
  <si>
    <t xml:space="preserve">Де-Кастри                </t>
  </si>
  <si>
    <t xml:space="preserve">Дарганата                </t>
  </si>
  <si>
    <t xml:space="preserve">Дарганата               </t>
  </si>
  <si>
    <t>Дарасун</t>
  </si>
  <si>
    <t xml:space="preserve">Дарасун                 </t>
  </si>
  <si>
    <t xml:space="preserve">Дарасун                  </t>
  </si>
  <si>
    <t>Дамбуки</t>
  </si>
  <si>
    <t xml:space="preserve">Дамбуки                 </t>
  </si>
  <si>
    <t xml:space="preserve">Дамбуки                  </t>
  </si>
  <si>
    <t>Дальнереченск</t>
  </si>
  <si>
    <t xml:space="preserve">Дальнереченск           </t>
  </si>
  <si>
    <t xml:space="preserve">Дальнереченск            </t>
  </si>
  <si>
    <t xml:space="preserve">Гульча                   </t>
  </si>
  <si>
    <t xml:space="preserve">Гульча                  </t>
  </si>
  <si>
    <t xml:space="preserve">Гузар                    </t>
  </si>
  <si>
    <t xml:space="preserve">Гузар                   </t>
  </si>
  <si>
    <t xml:space="preserve">Гудаута                  </t>
  </si>
  <si>
    <t xml:space="preserve">Гудаута                 </t>
  </si>
  <si>
    <t>Гудаута</t>
  </si>
  <si>
    <t>Гроссевичи</t>
  </si>
  <si>
    <t xml:space="preserve">Гроссевичи              </t>
  </si>
  <si>
    <t xml:space="preserve">Гроссевичи               </t>
  </si>
  <si>
    <t>Грозный</t>
  </si>
  <si>
    <t xml:space="preserve">Грозный                 </t>
  </si>
  <si>
    <t xml:space="preserve">Грозный                  </t>
  </si>
  <si>
    <t>Чеченская Республика</t>
  </si>
  <si>
    <t xml:space="preserve">Гродно                   </t>
  </si>
  <si>
    <t xml:space="preserve">Гродно                  </t>
  </si>
  <si>
    <t>Гродно</t>
  </si>
  <si>
    <t>Гродненская область</t>
  </si>
  <si>
    <t>Гош</t>
  </si>
  <si>
    <t xml:space="preserve">Гош                     </t>
  </si>
  <si>
    <t xml:space="preserve">Гош                      </t>
  </si>
  <si>
    <t xml:space="preserve">Горки                    </t>
  </si>
  <si>
    <t xml:space="preserve">Горки                   </t>
  </si>
  <si>
    <t>Горки</t>
  </si>
  <si>
    <t xml:space="preserve">Горис                    </t>
  </si>
  <si>
    <t xml:space="preserve">Горис                   </t>
  </si>
  <si>
    <t>Горис</t>
  </si>
  <si>
    <t xml:space="preserve">Гомель                   </t>
  </si>
  <si>
    <t xml:space="preserve">Гомель                  </t>
  </si>
  <si>
    <t>Гомель</t>
  </si>
  <si>
    <t>Гомельская область</t>
  </si>
  <si>
    <t>Глазов</t>
  </si>
  <si>
    <t xml:space="preserve">Глазов                  </t>
  </si>
  <si>
    <t xml:space="preserve">Глазов                   </t>
  </si>
  <si>
    <t xml:space="preserve">Геническ                 </t>
  </si>
  <si>
    <t xml:space="preserve">Геническ                </t>
  </si>
  <si>
    <t>Гвасюги</t>
  </si>
  <si>
    <t xml:space="preserve">Гвасюги                 </t>
  </si>
  <si>
    <t xml:space="preserve">Гвасюги                  </t>
  </si>
  <si>
    <t xml:space="preserve">Гаудан                   </t>
  </si>
  <si>
    <t xml:space="preserve">Гаудан                  </t>
  </si>
  <si>
    <t xml:space="preserve">Гасанкули                </t>
  </si>
  <si>
    <t xml:space="preserve">Гасанкули               </t>
  </si>
  <si>
    <t>Гарм</t>
  </si>
  <si>
    <t xml:space="preserve">Гарм                 </t>
  </si>
  <si>
    <t xml:space="preserve">Ганюшкино                </t>
  </si>
  <si>
    <t xml:space="preserve">Ганюшкино               </t>
  </si>
  <si>
    <t>Атырауская область</t>
  </si>
  <si>
    <t xml:space="preserve">Галляарал                </t>
  </si>
  <si>
    <t xml:space="preserve">Галляарал               </t>
  </si>
  <si>
    <t xml:space="preserve">Гайворон                 </t>
  </si>
  <si>
    <t xml:space="preserve">Гайворон                </t>
  </si>
  <si>
    <t>Вязьма</t>
  </si>
  <si>
    <t xml:space="preserve">Вязьма                  </t>
  </si>
  <si>
    <t xml:space="preserve">Вязьма                   </t>
  </si>
  <si>
    <t>Вяземский</t>
  </si>
  <si>
    <t xml:space="preserve">Вяземский               </t>
  </si>
  <si>
    <t xml:space="preserve">Вяземский                </t>
  </si>
  <si>
    <t>Вытегра</t>
  </si>
  <si>
    <t xml:space="preserve">Вытегра                 </t>
  </si>
  <si>
    <t xml:space="preserve">Вытегра                  </t>
  </si>
  <si>
    <t>Выкса</t>
  </si>
  <si>
    <t xml:space="preserve">Выкса                   </t>
  </si>
  <si>
    <t xml:space="preserve">Выкса                    </t>
  </si>
  <si>
    <t xml:space="preserve">Воронцово                </t>
  </si>
  <si>
    <t xml:space="preserve">Воронцово               </t>
  </si>
  <si>
    <t>Воронеж</t>
  </si>
  <si>
    <t xml:space="preserve">Воронеж                 </t>
  </si>
  <si>
    <t xml:space="preserve">Воронеж                  </t>
  </si>
  <si>
    <t>Воронежская область</t>
  </si>
  <si>
    <t>Воркута</t>
  </si>
  <si>
    <t xml:space="preserve">Воркута                 </t>
  </si>
  <si>
    <t xml:space="preserve">Воркута                  </t>
  </si>
  <si>
    <t>Волочанка</t>
  </si>
  <si>
    <t xml:space="preserve">Волочанка               </t>
  </si>
  <si>
    <t xml:space="preserve">Волочанка                </t>
  </si>
  <si>
    <t>Вологда</t>
  </si>
  <si>
    <t xml:space="preserve">Вологда                 </t>
  </si>
  <si>
    <t xml:space="preserve">Вологда                  </t>
  </si>
  <si>
    <t>Волгоград</t>
  </si>
  <si>
    <t xml:space="preserve">Волгоград               </t>
  </si>
  <si>
    <t xml:space="preserve">Волгоград                </t>
  </si>
  <si>
    <t>Владимир</t>
  </si>
  <si>
    <t xml:space="preserve">Владимир                </t>
  </si>
  <si>
    <t xml:space="preserve">Владимир                 </t>
  </si>
  <si>
    <t>Владикавказ</t>
  </si>
  <si>
    <t xml:space="preserve">Владикавказ             </t>
  </si>
  <si>
    <t xml:space="preserve">Владикавказ              </t>
  </si>
  <si>
    <t>Республика Северная Осетия</t>
  </si>
  <si>
    <t>Владивосток</t>
  </si>
  <si>
    <t xml:space="preserve">Владивосток             </t>
  </si>
  <si>
    <t xml:space="preserve">Владивосток              </t>
  </si>
  <si>
    <t xml:space="preserve">Витим                    </t>
  </si>
  <si>
    <t xml:space="preserve">Витим                   </t>
  </si>
  <si>
    <t xml:space="preserve">Витебск                  </t>
  </si>
  <si>
    <t xml:space="preserve">Витебск                 </t>
  </si>
  <si>
    <t>Витебск</t>
  </si>
  <si>
    <t xml:space="preserve">Винница                  </t>
  </si>
  <si>
    <t xml:space="preserve">Винница                 </t>
  </si>
  <si>
    <t>Винницкая область</t>
  </si>
  <si>
    <t xml:space="preserve">Вилюйск                  </t>
  </si>
  <si>
    <t xml:space="preserve">Вилюйск                 </t>
  </si>
  <si>
    <t xml:space="preserve">Верхоянск                </t>
  </si>
  <si>
    <t xml:space="preserve">Верхоянск               </t>
  </si>
  <si>
    <t>Верхотурье</t>
  </si>
  <si>
    <t xml:space="preserve">Верхотурье              </t>
  </si>
  <si>
    <t xml:space="preserve">Верхотурье               </t>
  </si>
  <si>
    <t>Верхняя Гутара</t>
  </si>
  <si>
    <t xml:space="preserve">Верхняя Гутара          </t>
  </si>
  <si>
    <t xml:space="preserve">Верхняя Гутара           </t>
  </si>
  <si>
    <t>Верхний Баскунчак</t>
  </si>
  <si>
    <t xml:space="preserve">Верхний Баскунчак       </t>
  </si>
  <si>
    <t xml:space="preserve">Верхний Баскунчак        </t>
  </si>
  <si>
    <t>Астраханская область</t>
  </si>
  <si>
    <t>Верхнеуральск</t>
  </si>
  <si>
    <t xml:space="preserve">Верхнеуральск           </t>
  </si>
  <si>
    <t xml:space="preserve">Верхнеуральск            </t>
  </si>
  <si>
    <t>Верхнеимбатск</t>
  </si>
  <si>
    <t xml:space="preserve">Верхнеимбатск           </t>
  </si>
  <si>
    <t xml:space="preserve">Верхнеимбатск            </t>
  </si>
  <si>
    <t>Вендинга</t>
  </si>
  <si>
    <t xml:space="preserve">Вендинга                </t>
  </si>
  <si>
    <t xml:space="preserve">Вендинга                 </t>
  </si>
  <si>
    <t>Вельмо</t>
  </si>
  <si>
    <t xml:space="preserve">Вельмо                  </t>
  </si>
  <si>
    <t xml:space="preserve">Вельмо                   </t>
  </si>
  <si>
    <t>Великий Новгород</t>
  </si>
  <si>
    <t xml:space="preserve">Великий Новгород        </t>
  </si>
  <si>
    <t xml:space="preserve">Великий Новгород         </t>
  </si>
  <si>
    <t>Новгородская область</t>
  </si>
  <si>
    <t>Великие Луки</t>
  </si>
  <si>
    <t xml:space="preserve">Великие Луки            </t>
  </si>
  <si>
    <t xml:space="preserve">Великие Луки             </t>
  </si>
  <si>
    <t xml:space="preserve">Василевичи               </t>
  </si>
  <si>
    <t xml:space="preserve">Василевичи              </t>
  </si>
  <si>
    <t>Василевичи</t>
  </si>
  <si>
    <t xml:space="preserve">Варандей                 </t>
  </si>
  <si>
    <t xml:space="preserve">Варандей                </t>
  </si>
  <si>
    <t>Варандей</t>
  </si>
  <si>
    <t xml:space="preserve">Ванадзор                 </t>
  </si>
  <si>
    <t xml:space="preserve">Ванадзор                </t>
  </si>
  <si>
    <t>Ванадзор</t>
  </si>
  <si>
    <t>Ванавара -  Эвенкийский АО</t>
  </si>
  <si>
    <t xml:space="preserve">Ванавара - Эвенкийский  </t>
  </si>
  <si>
    <t>Ванавара - Эвенкийский АО</t>
  </si>
  <si>
    <t>Вайда-Губа</t>
  </si>
  <si>
    <t xml:space="preserve">Вайда-Губа              </t>
  </si>
  <si>
    <t xml:space="preserve">Вайда-Губа               </t>
  </si>
  <si>
    <t>Бысса</t>
  </si>
  <si>
    <t xml:space="preserve">Бысса                   </t>
  </si>
  <si>
    <t xml:space="preserve">Бысса                    </t>
  </si>
  <si>
    <t xml:space="preserve">Буяга                    </t>
  </si>
  <si>
    <t xml:space="preserve">Буяга                   </t>
  </si>
  <si>
    <t>Буяга</t>
  </si>
  <si>
    <t xml:space="preserve">Бухара                   </t>
  </si>
  <si>
    <t xml:space="preserve">Бухара                  </t>
  </si>
  <si>
    <t>Бухара</t>
  </si>
  <si>
    <t>Бухарская область</t>
  </si>
  <si>
    <t>Бугульма</t>
  </si>
  <si>
    <t xml:space="preserve">Бугульма                </t>
  </si>
  <si>
    <t xml:space="preserve">Бугульма                 </t>
  </si>
  <si>
    <t>Брянск</t>
  </si>
  <si>
    <t xml:space="preserve">Брянск                  </t>
  </si>
  <si>
    <t xml:space="preserve">Брянск                   </t>
  </si>
  <si>
    <t>Брянская область</t>
  </si>
  <si>
    <t>Брохово</t>
  </si>
  <si>
    <t xml:space="preserve">Брохово                 </t>
  </si>
  <si>
    <t xml:space="preserve">Брохово                  </t>
  </si>
  <si>
    <t xml:space="preserve">Брест                    </t>
  </si>
  <si>
    <t xml:space="preserve">Брест                   </t>
  </si>
  <si>
    <t>Брест</t>
  </si>
  <si>
    <t>Брестская область</t>
  </si>
  <si>
    <t>Братск</t>
  </si>
  <si>
    <t xml:space="preserve">Братск                  </t>
  </si>
  <si>
    <t xml:space="preserve">Братск                   </t>
  </si>
  <si>
    <t>Братолюбовка</t>
  </si>
  <si>
    <t xml:space="preserve">Братолюбовка            </t>
  </si>
  <si>
    <t xml:space="preserve">Братолюбовка             </t>
  </si>
  <si>
    <t>Боровичи</t>
  </si>
  <si>
    <t xml:space="preserve">Боровичи                </t>
  </si>
  <si>
    <t xml:space="preserve">Боровичи                 </t>
  </si>
  <si>
    <t>Борковская</t>
  </si>
  <si>
    <t xml:space="preserve">Борковская              </t>
  </si>
  <si>
    <t xml:space="preserve">Борковская               </t>
  </si>
  <si>
    <t>Борзя</t>
  </si>
  <si>
    <t xml:space="preserve">Борзя                   </t>
  </si>
  <si>
    <t xml:space="preserve">Борзя                    </t>
  </si>
  <si>
    <t>Бомнак</t>
  </si>
  <si>
    <t xml:space="preserve">Бомнак                  </t>
  </si>
  <si>
    <t xml:space="preserve">Бомнак                   </t>
  </si>
  <si>
    <t>Болотное</t>
  </si>
  <si>
    <t xml:space="preserve">Болотное                </t>
  </si>
  <si>
    <t xml:space="preserve">Болотное                 </t>
  </si>
  <si>
    <t>Бодайбо</t>
  </si>
  <si>
    <t xml:space="preserve">Бодайбо                 </t>
  </si>
  <si>
    <t xml:space="preserve">Бодайбо                  </t>
  </si>
  <si>
    <t>Богучаны</t>
  </si>
  <si>
    <t xml:space="preserve">Богучаны                </t>
  </si>
  <si>
    <t xml:space="preserve">Богучаны                 </t>
  </si>
  <si>
    <t>Боготол</t>
  </si>
  <si>
    <t xml:space="preserve">Боготол                 </t>
  </si>
  <si>
    <t xml:space="preserve">Боготол                  </t>
  </si>
  <si>
    <t>Богополь</t>
  </si>
  <si>
    <t xml:space="preserve">Богополь                </t>
  </si>
  <si>
    <t xml:space="preserve">Богополь                 </t>
  </si>
  <si>
    <t>Благовещенск</t>
  </si>
  <si>
    <t xml:space="preserve">Благовещенск            </t>
  </si>
  <si>
    <t xml:space="preserve">Благовещенск             </t>
  </si>
  <si>
    <t xml:space="preserve">Бишкек                   </t>
  </si>
  <si>
    <t xml:space="preserve">Бишкек                  </t>
  </si>
  <si>
    <t>Бишкек</t>
  </si>
  <si>
    <t>Чуйская область</t>
  </si>
  <si>
    <t>Бисер</t>
  </si>
  <si>
    <t xml:space="preserve">Бисер                   </t>
  </si>
  <si>
    <t xml:space="preserve">Бисер                    </t>
  </si>
  <si>
    <t>Биробиджан</t>
  </si>
  <si>
    <t xml:space="preserve">Биробиджан              </t>
  </si>
  <si>
    <t xml:space="preserve">Биробиджан               </t>
  </si>
  <si>
    <t>Бира</t>
  </si>
  <si>
    <t xml:space="preserve">Бира                    </t>
  </si>
  <si>
    <t xml:space="preserve">Бира                     </t>
  </si>
  <si>
    <t>Бикин</t>
  </si>
  <si>
    <t xml:space="preserve">Бикин                   </t>
  </si>
  <si>
    <t xml:space="preserve">Бикин                    </t>
  </si>
  <si>
    <t>Бийск</t>
  </si>
  <si>
    <t xml:space="preserve">Бийск                   </t>
  </si>
  <si>
    <t xml:space="preserve">Бийск                    </t>
  </si>
  <si>
    <t>Березово -  Ханты-Мансийский АО</t>
  </si>
  <si>
    <t xml:space="preserve">Березово                </t>
  </si>
  <si>
    <t xml:space="preserve">Березово                 </t>
  </si>
  <si>
    <t>Березово</t>
  </si>
  <si>
    <t xml:space="preserve">Березово -              </t>
  </si>
  <si>
    <t xml:space="preserve">Березово -               </t>
  </si>
  <si>
    <t xml:space="preserve">Бердигястях              </t>
  </si>
  <si>
    <t xml:space="preserve">Бердигястях             </t>
  </si>
  <si>
    <t>Беля</t>
  </si>
  <si>
    <t xml:space="preserve">Беля                    </t>
  </si>
  <si>
    <t xml:space="preserve">Беля                     </t>
  </si>
  <si>
    <t>Белорецк</t>
  </si>
  <si>
    <t xml:space="preserve">Белорецк                </t>
  </si>
  <si>
    <t xml:space="preserve">Белорецк                 </t>
  </si>
  <si>
    <t>Белогорск</t>
  </si>
  <si>
    <t xml:space="preserve">Белогорск               </t>
  </si>
  <si>
    <t xml:space="preserve">Белогорск                </t>
  </si>
  <si>
    <t>Белгород</t>
  </si>
  <si>
    <t xml:space="preserve">Белгород                </t>
  </si>
  <si>
    <t xml:space="preserve">Белгород                 </t>
  </si>
  <si>
    <t>Белгородская область</t>
  </si>
  <si>
    <t>Бежецк</t>
  </si>
  <si>
    <t xml:space="preserve">Бежецк                  </t>
  </si>
  <si>
    <t xml:space="preserve">Бежецк                   </t>
  </si>
  <si>
    <t xml:space="preserve">Баянаул                  </t>
  </si>
  <si>
    <t xml:space="preserve">Баянаул                 </t>
  </si>
  <si>
    <t xml:space="preserve">Бахты                    </t>
  </si>
  <si>
    <t xml:space="preserve">Бахты                   </t>
  </si>
  <si>
    <t xml:space="preserve">Батуми                   </t>
  </si>
  <si>
    <t xml:space="preserve">Батуми                  </t>
  </si>
  <si>
    <t>Батуми</t>
  </si>
  <si>
    <t xml:space="preserve">Батамай                  </t>
  </si>
  <si>
    <t xml:space="preserve">Батамай                 </t>
  </si>
  <si>
    <t>Барнаул</t>
  </si>
  <si>
    <t xml:space="preserve">Барнаул                 </t>
  </si>
  <si>
    <t xml:space="preserve">Барнаул                  </t>
  </si>
  <si>
    <t>Баргузин</t>
  </si>
  <si>
    <t xml:space="preserve">Баргузин                </t>
  </si>
  <si>
    <t xml:space="preserve">Баргузин                 </t>
  </si>
  <si>
    <t>Барабинск</t>
  </si>
  <si>
    <t xml:space="preserve">Барабинск               </t>
  </si>
  <si>
    <t xml:space="preserve">Барабинск                </t>
  </si>
  <si>
    <t xml:space="preserve">Балхаш                   </t>
  </si>
  <si>
    <t xml:space="preserve">Балхаш                  </t>
  </si>
  <si>
    <t>Балашов</t>
  </si>
  <si>
    <t xml:space="preserve">Балашов                 </t>
  </si>
  <si>
    <t xml:space="preserve">Балашов                  </t>
  </si>
  <si>
    <t xml:space="preserve">Баку                     </t>
  </si>
  <si>
    <t xml:space="preserve">Баку                    </t>
  </si>
  <si>
    <t>11,1 |</t>
  </si>
  <si>
    <t>25,7 |</t>
  </si>
  <si>
    <t xml:space="preserve">Баку   </t>
  </si>
  <si>
    <t>Азербайджанская Республика</t>
  </si>
  <si>
    <t xml:space="preserve">Баканас                  </t>
  </si>
  <si>
    <t xml:space="preserve">Баканас                 </t>
  </si>
  <si>
    <t>Алматинская область</t>
  </si>
  <si>
    <t xml:space="preserve">Байрамали                </t>
  </si>
  <si>
    <t xml:space="preserve">Байрамали               </t>
  </si>
  <si>
    <t>Байкит - Эвенкийский  АО</t>
  </si>
  <si>
    <t xml:space="preserve">Байкит - Эвенкийский АО </t>
  </si>
  <si>
    <t xml:space="preserve">Байкит - Эвенкийский АО  </t>
  </si>
  <si>
    <t>Байдуков</t>
  </si>
  <si>
    <t xml:space="preserve">Байдуков                </t>
  </si>
  <si>
    <t xml:space="preserve">Байдуков                 </t>
  </si>
  <si>
    <t>Багдарин</t>
  </si>
  <si>
    <t xml:space="preserve">Багдарин                </t>
  </si>
  <si>
    <t xml:space="preserve">Багдарин                 </t>
  </si>
  <si>
    <t>Бабушкин</t>
  </si>
  <si>
    <t xml:space="preserve">Бабушкин                </t>
  </si>
  <si>
    <t xml:space="preserve">Бабушкин                 </t>
  </si>
  <si>
    <t>Бабаево</t>
  </si>
  <si>
    <t xml:space="preserve">Бабаево                 </t>
  </si>
  <si>
    <t xml:space="preserve">Бабаево                  </t>
  </si>
  <si>
    <t>Аян</t>
  </si>
  <si>
    <t xml:space="preserve">Аян                     </t>
  </si>
  <si>
    <t xml:space="preserve">Аян                      </t>
  </si>
  <si>
    <t xml:space="preserve">Аягуз                    </t>
  </si>
  <si>
    <t xml:space="preserve">Аягуз                   </t>
  </si>
  <si>
    <t xml:space="preserve">Ашхабад                  </t>
  </si>
  <si>
    <t xml:space="preserve">Ашхабад                 </t>
  </si>
  <si>
    <t>Ачинск</t>
  </si>
  <si>
    <t xml:space="preserve">Ачинск                  </t>
  </si>
  <si>
    <t xml:space="preserve">Ачинск                   </t>
  </si>
  <si>
    <t xml:space="preserve">Ахалкалаки               </t>
  </si>
  <si>
    <t xml:space="preserve">Ахалкалаки              </t>
  </si>
  <si>
    <t>Ахалкалаки</t>
  </si>
  <si>
    <t xml:space="preserve">Атырау                   </t>
  </si>
  <si>
    <t xml:space="preserve"> ЮЗ;  </t>
  </si>
  <si>
    <t xml:space="preserve">Атырау                  </t>
  </si>
  <si>
    <t xml:space="preserve">Атбасар                  </t>
  </si>
  <si>
    <t xml:space="preserve">Атбасар                 </t>
  </si>
  <si>
    <t>Акмолинская область</t>
  </si>
  <si>
    <t>Астрахань</t>
  </si>
  <si>
    <t xml:space="preserve">Астрахань               </t>
  </si>
  <si>
    <t xml:space="preserve">Астрахань                </t>
  </si>
  <si>
    <t>Астраханка</t>
  </si>
  <si>
    <t xml:space="preserve">Астраханка              </t>
  </si>
  <si>
    <t xml:space="preserve">Астраханка               </t>
  </si>
  <si>
    <t xml:space="preserve">Астана                   </t>
  </si>
  <si>
    <t xml:space="preserve">Астана                  </t>
  </si>
  <si>
    <t xml:space="preserve">Аскания-Нова             </t>
  </si>
  <si>
    <t xml:space="preserve">Аскания-Нова            </t>
  </si>
  <si>
    <t>Архара</t>
  </si>
  <si>
    <t xml:space="preserve">Архара                  </t>
  </si>
  <si>
    <t xml:space="preserve">Архара                   </t>
  </si>
  <si>
    <t>Архангельск</t>
  </si>
  <si>
    <t xml:space="preserve">Архангельск             </t>
  </si>
  <si>
    <t xml:space="preserve">Архангельск              </t>
  </si>
  <si>
    <t>Аркагала</t>
  </si>
  <si>
    <t xml:space="preserve">Аркагала                </t>
  </si>
  <si>
    <t xml:space="preserve">Аркагала                 </t>
  </si>
  <si>
    <t>Арзгир</t>
  </si>
  <si>
    <t xml:space="preserve">Арзгир                  </t>
  </si>
  <si>
    <t xml:space="preserve">Арзгир                   </t>
  </si>
  <si>
    <t>Арзамас</t>
  </si>
  <si>
    <t xml:space="preserve">Арзамас                 </t>
  </si>
  <si>
    <t xml:space="preserve">Арзамас                  </t>
  </si>
  <si>
    <t xml:space="preserve">Аральское Море           </t>
  </si>
  <si>
    <t xml:space="preserve">Аральское море          </t>
  </si>
  <si>
    <t>Апука - Корякский АО</t>
  </si>
  <si>
    <t xml:space="preserve">Апука - Корякский АО    </t>
  </si>
  <si>
    <t xml:space="preserve">Апука - Корякский АО     </t>
  </si>
  <si>
    <t>Анучино</t>
  </si>
  <si>
    <t xml:space="preserve">Анучино                 </t>
  </si>
  <si>
    <t xml:space="preserve">Анучино                  </t>
  </si>
  <si>
    <t xml:space="preserve">Андижан                  </t>
  </si>
  <si>
    <t xml:space="preserve">Андижан                 </t>
  </si>
  <si>
    <t>Андижанская область</t>
  </si>
  <si>
    <t>Анадырь</t>
  </si>
  <si>
    <t xml:space="preserve">Анадырь                 </t>
  </si>
  <si>
    <t xml:space="preserve">Анадырь                  </t>
  </si>
  <si>
    <t xml:space="preserve">Амга                     </t>
  </si>
  <si>
    <t xml:space="preserve">Амга                    </t>
  </si>
  <si>
    <t xml:space="preserve">Амангельды               </t>
  </si>
  <si>
    <t xml:space="preserve">Амангельды              </t>
  </si>
  <si>
    <t>Алыгджер</t>
  </si>
  <si>
    <t xml:space="preserve">Алыгджер                </t>
  </si>
  <si>
    <t xml:space="preserve">Алыгджер                 </t>
  </si>
  <si>
    <t xml:space="preserve">Алматы                   </t>
  </si>
  <si>
    <t xml:space="preserve">Алматы                  </t>
  </si>
  <si>
    <t xml:space="preserve">Аллах-Юнь                </t>
  </si>
  <si>
    <t xml:space="preserve">Аллах-Юнь               </t>
  </si>
  <si>
    <t>Александровск-Сахалинский</t>
  </si>
  <si>
    <t xml:space="preserve">Александровск-Сахалинс- </t>
  </si>
  <si>
    <t>Александровское</t>
  </si>
  <si>
    <t xml:space="preserve">Александровское         </t>
  </si>
  <si>
    <t xml:space="preserve">Александровское          </t>
  </si>
  <si>
    <t>Александровский Завод</t>
  </si>
  <si>
    <t xml:space="preserve">Александровский Завод   </t>
  </si>
  <si>
    <t xml:space="preserve">Александровский Завод    </t>
  </si>
  <si>
    <t>Александров Гай</t>
  </si>
  <si>
    <t xml:space="preserve">Александров Гай         </t>
  </si>
  <si>
    <t xml:space="preserve">Александров Гай          </t>
  </si>
  <si>
    <t>Алейск</t>
  </si>
  <si>
    <t xml:space="preserve">Алейск                  </t>
  </si>
  <si>
    <t xml:space="preserve">Алейск                   </t>
  </si>
  <si>
    <t xml:space="preserve">Алдан                    </t>
  </si>
  <si>
    <t xml:space="preserve">Алдан                   </t>
  </si>
  <si>
    <t>Акша</t>
  </si>
  <si>
    <t xml:space="preserve">Акша                    </t>
  </si>
  <si>
    <t xml:space="preserve">Акша                     </t>
  </si>
  <si>
    <t xml:space="preserve">Актюбинск                </t>
  </si>
  <si>
    <t xml:space="preserve">Актюбинск               </t>
  </si>
  <si>
    <t xml:space="preserve">Ай-Петри                 </t>
  </si>
  <si>
    <t xml:space="preserve">Ай-Петри                </t>
  </si>
  <si>
    <t>Агинское</t>
  </si>
  <si>
    <t xml:space="preserve">Агинское                </t>
  </si>
  <si>
    <t xml:space="preserve">Агинское                 </t>
  </si>
  <si>
    <t>Агзу</t>
  </si>
  <si>
    <t xml:space="preserve">Агзу                    </t>
  </si>
  <si>
    <t xml:space="preserve">Агзу                     </t>
  </si>
  <si>
    <t>Агата</t>
  </si>
  <si>
    <t xml:space="preserve">Агата                   </t>
  </si>
  <si>
    <t xml:space="preserve">Агата                    </t>
  </si>
  <si>
    <t>Абакан</t>
  </si>
  <si>
    <t xml:space="preserve">Абакан                  </t>
  </si>
  <si>
    <t xml:space="preserve">Абакан                   </t>
  </si>
  <si>
    <t>1в</t>
  </si>
  <si>
    <t>1б</t>
  </si>
  <si>
    <t>1а</t>
  </si>
  <si>
    <t xml:space="preserve"> Год </t>
  </si>
  <si>
    <t xml:space="preserve"> ХII </t>
  </si>
  <si>
    <t xml:space="preserve"> XI </t>
  </si>
  <si>
    <t xml:space="preserve">  X  </t>
  </si>
  <si>
    <t xml:space="preserve"> IX  </t>
  </si>
  <si>
    <t>VIII</t>
  </si>
  <si>
    <t xml:space="preserve"> VII </t>
  </si>
  <si>
    <t xml:space="preserve"> VI  </t>
  </si>
  <si>
    <t xml:space="preserve"> V  </t>
  </si>
  <si>
    <t xml:space="preserve"> IV  </t>
  </si>
  <si>
    <t xml:space="preserve"> III </t>
  </si>
  <si>
    <t xml:space="preserve"> II </t>
  </si>
  <si>
    <t xml:space="preserve">  I  </t>
  </si>
  <si>
    <t xml:space="preserve">Республика, край, область, пункт   </t>
  </si>
  <si>
    <t>средняя температура</t>
  </si>
  <si>
    <t>продолжительность</t>
  </si>
  <si>
    <t>Год</t>
  </si>
  <si>
    <t>XII</t>
  </si>
  <si>
    <t>XI</t>
  </si>
  <si>
    <t>X</t>
  </si>
  <si>
    <t>IX</t>
  </si>
  <si>
    <t>VII</t>
  </si>
  <si>
    <t>VI</t>
  </si>
  <si>
    <t>V</t>
  </si>
  <si>
    <t>IV</t>
  </si>
  <si>
    <t>III</t>
  </si>
  <si>
    <t>II</t>
  </si>
  <si>
    <t xml:space="preserve">I </t>
  </si>
  <si>
    <t>город</t>
  </si>
  <si>
    <t>край</t>
  </si>
  <si>
    <t>Республика</t>
  </si>
  <si>
    <t xml:space="preserve">Минимальная из средних скоростей  ветра по  румбам за  июль, м/с </t>
  </si>
  <si>
    <t>Преобладающее направление ветра за  июнь-август</t>
  </si>
  <si>
    <t xml:space="preserve">Суточный максимум осадков,  мм  </t>
  </si>
  <si>
    <t xml:space="preserve">Количество осадков за апрель октябрь,    мм    </t>
  </si>
  <si>
    <t>Средняя месячная относительная  влажность воздуха в 15 ч  наиболее  теплого месяца, %</t>
  </si>
  <si>
    <t xml:space="preserve">Средняя месячная относительная влажность воздуха наиболее теплого месяца,    %    </t>
  </si>
  <si>
    <t xml:space="preserve">Средняя  суточная амплитуда температуры воздуха  наиболее теплого  месяца, °С </t>
  </si>
  <si>
    <t xml:space="preserve">Абсолютная максимальная температура воздуха,  °С    </t>
  </si>
  <si>
    <t xml:space="preserve">Средняя максимальная температура воздуха наиболее теплого месяца,   °С    </t>
  </si>
  <si>
    <t xml:space="preserve">Темпера тура воздуха,  °С, обеспеченностью  0,99   </t>
  </si>
  <si>
    <t xml:space="preserve">Темпера тура воздуха, °С, обеспеченностью  0,95  </t>
  </si>
  <si>
    <t xml:space="preserve">Барометрическое давление, гПа  </t>
  </si>
  <si>
    <t xml:space="preserve">   Республика, край, область, пункт     </t>
  </si>
  <si>
    <t xml:space="preserve">Средняя скорость  ветра,  м/с, за период со  средней суточной температурой воздуха  </t>
  </si>
  <si>
    <t xml:space="preserve">Максимальная  из средних скоростей ветра по румбам за  январь,    м/с   </t>
  </si>
  <si>
    <t xml:space="preserve">Преобладающее направление ветра за декабрь - февраль  </t>
  </si>
  <si>
    <t xml:space="preserve">Количество осадков  за  ноябрь - март, мм   </t>
  </si>
  <si>
    <t xml:space="preserve">Средняя   месячная относительная  влажность воздуха в   15 ч    наиболее холодного месяца, % </t>
  </si>
  <si>
    <t xml:space="preserve">Средняя  месячная относительная влажность  воздуха   наиболее холодного месяца, % </t>
  </si>
  <si>
    <t>Продолжительность, сут, и средняя температура  воздуха, °С в  период  со средней суточной   температурой воздуха</t>
  </si>
  <si>
    <t xml:space="preserve"> Средняя суточная амплитуда температуры воздуха наиболее холодного месяца,  °С        </t>
  </si>
  <si>
    <t xml:space="preserve">Абсолютная минимальная температура  воздуха,    °С    </t>
  </si>
  <si>
    <t>Температура воздуха, °С, обеспеченностью 0,94</t>
  </si>
  <si>
    <t xml:space="preserve">Температура воздуха  наиболее  холодной пятидневки,   °С   Обеспеченностью  </t>
  </si>
  <si>
    <t xml:space="preserve">Температура   воздуха   наиболее    холодных   суток °С, Обеспеченностью </t>
  </si>
  <si>
    <t xml:space="preserve">Республика, край, область, пункт      </t>
  </si>
  <si>
    <t>Таблица 5а. Среднее месячное и годовое парциальное давление водяного пара, гПа</t>
  </si>
  <si>
    <t>Таблица 2 - Климатические параметры теплого периода года</t>
  </si>
  <si>
    <t>Таблица 1 - Климатические параметры холодного периода года</t>
  </si>
  <si>
    <t>Таблица 3 - Средняя месячная и средне годовая температура воздуха, °С</t>
  </si>
  <si>
    <t>Количество свай</t>
  </si>
  <si>
    <t>Несущая способность подошвы фундамента</t>
  </si>
  <si>
    <t>Объёмы материалов</t>
  </si>
  <si>
    <t>Шаг 400мм</t>
  </si>
  <si>
    <t>Выберите место застройки!</t>
  </si>
  <si>
    <r>
      <t xml:space="preserve">Примечание </t>
    </r>
    <r>
      <rPr>
        <sz val="9"/>
        <color indexed="8"/>
        <rFont val="Times New Roman"/>
        <family val="1"/>
        <charset val="204"/>
      </rPr>
      <t>— Климатический подрайон IД характеризуется продолжительностью холодного периода года (со средней суточной температурой воздуха ниже 0°С) 190 дней в году и более</t>
    </r>
  </si>
  <si>
    <t>—</t>
  </si>
  <si>
    <t>От +25 до +28</t>
  </si>
  <si>
    <t>От -15 до 0</t>
  </si>
  <si>
    <t>IVГ</t>
  </si>
  <si>
    <t>От 0 до +2</t>
  </si>
  <si>
    <t>IVВ</t>
  </si>
  <si>
    <t>50 и более в15ч</t>
  </si>
  <si>
    <t>От +22 до +28</t>
  </si>
  <si>
    <t>От +2 до +6</t>
  </si>
  <si>
    <t>IVБ</t>
  </si>
  <si>
    <t>От +28 и выше</t>
  </si>
  <si>
    <t>От -10 до +2</t>
  </si>
  <si>
    <t>IVА</t>
  </si>
  <si>
    <t>От +21 до +25</t>
  </si>
  <si>
    <t>От -5 до -14</t>
  </si>
  <si>
    <t>IIIВ</t>
  </si>
  <si>
    <t>От -5 до +2</t>
  </si>
  <si>
    <t>IIIБ</t>
  </si>
  <si>
    <t>От -14 до-20</t>
  </si>
  <si>
    <t>IIIА</t>
  </si>
  <si>
    <t>Более 75</t>
  </si>
  <si>
    <t>От +12 до +21</t>
  </si>
  <si>
    <t>5 и более</t>
  </si>
  <si>
    <t>IIГ</t>
  </si>
  <si>
    <t>От -4 до -14</t>
  </si>
  <si>
    <t>IIВ</t>
  </si>
  <si>
    <t>От -3 до -5</t>
  </si>
  <si>
    <t>IIБ</t>
  </si>
  <si>
    <t>От +8 до +12</t>
  </si>
  <si>
    <t>IIА</t>
  </si>
  <si>
    <t>От +10 до +20</t>
  </si>
  <si>
    <t>От -14 до -32</t>
  </si>
  <si>
    <t>IД</t>
  </si>
  <si>
    <t>От 0 до +14</t>
  </si>
  <si>
    <t>От -14 до -28</t>
  </si>
  <si>
    <t>IГ</t>
  </si>
  <si>
    <t>IВ</t>
  </si>
  <si>
    <t>От 0 до +13</t>
  </si>
  <si>
    <t>От -28 и ниже</t>
  </si>
  <si>
    <t>IБ</t>
  </si>
  <si>
    <t>От +4 до +19</t>
  </si>
  <si>
    <t>От -32 и ниже</t>
  </si>
  <si>
    <t>IА</t>
  </si>
  <si>
    <t>I</t>
  </si>
  <si>
    <t>Среднемесячная относительная влажность воздуха в июле, %</t>
  </si>
  <si>
    <t>Среднемесячная температура воздуха в июле, °С</t>
  </si>
  <si>
    <t>Средняя скорость ветра за три зимних месяца, м/с</t>
  </si>
  <si>
    <t>Среднемесячная температура воздуха в январе,°С</t>
  </si>
  <si>
    <t>Климатические подрайоны</t>
  </si>
  <si>
    <t>Климатические районы</t>
  </si>
  <si>
    <t>Таблица А.1</t>
  </si>
  <si>
    <t>ИТОГ</t>
  </si>
  <si>
    <t>С подвалом или техническим   подпольем</t>
  </si>
  <si>
    <t>Без подвала с полами, устраиваемыми по утепленному цокольному перекрытию</t>
  </si>
  <si>
    <t>Без подвала с полами, устраиваемыми на лагах по грунту</t>
  </si>
  <si>
    <t>Без подвала с полами, устраиваемыми по грунту</t>
  </si>
  <si>
    <t>более</t>
  </si>
  <si>
    <t>&gt;20°С</t>
  </si>
  <si>
    <t>15°С</t>
  </si>
  <si>
    <t>10°С</t>
  </si>
  <si>
    <t>5°С</t>
  </si>
  <si>
    <t>0°С</t>
  </si>
  <si>
    <t>Особенности сооружения</t>
  </si>
  <si>
    <r>
      <t xml:space="preserve"> при расчетной среднесуточной температуре воздуха в помещении, примыкающем к наружным фундаментам, </t>
    </r>
    <r>
      <rPr>
        <sz val="10"/>
        <color indexed="8"/>
        <rFont val="Symbol"/>
        <family val="1"/>
        <charset val="2"/>
      </rPr>
      <t>°</t>
    </r>
    <r>
      <rPr>
        <sz val="10"/>
        <color indexed="8"/>
        <rFont val="Times New Roman"/>
        <family val="1"/>
        <charset val="204"/>
      </rPr>
      <t>С</t>
    </r>
  </si>
  <si>
    <t xml:space="preserve">Коэффициент </t>
  </si>
  <si>
    <t>Произведение</t>
  </si>
  <si>
    <t>Корень</t>
  </si>
  <si>
    <t>Cevvf</t>
  </si>
  <si>
    <t>крупнообломочных грунтов</t>
  </si>
  <si>
    <t>пески гравелистые, крупные и средней крупности</t>
  </si>
  <si>
    <t>супеси, пески мелкие и пылеватые</t>
  </si>
  <si>
    <t>суглинки и глина</t>
  </si>
  <si>
    <t>несущая способность гр.</t>
  </si>
  <si>
    <t>м.куб.</t>
  </si>
  <si>
    <t>Опора бруса открытая OBR 50x185</t>
  </si>
  <si>
    <t>Опора бруса открытая OBR 100x200мм</t>
  </si>
  <si>
    <t>Шурупы или гвозди для сбивки каркаса 90х4мм</t>
  </si>
  <si>
    <t>Доска 100х50мм</t>
  </si>
  <si>
    <t>Доп.материал</t>
  </si>
  <si>
    <t>Доп материал</t>
  </si>
  <si>
    <t>Допополнительные материалы</t>
  </si>
  <si>
    <t>UD профиль 27х28мм</t>
  </si>
  <si>
    <t>Уголок крепёжный, стальной KU 70х40х2мм</t>
  </si>
  <si>
    <t>Доска шпунтованная, для пола 30мм</t>
  </si>
  <si>
    <t>Средняя стоимость за единицу объёма</t>
  </si>
  <si>
    <t>Метизы(гайки, болты, гвозди, шурупы)</t>
  </si>
  <si>
    <t>брус</t>
  </si>
  <si>
    <t>доска 200</t>
  </si>
  <si>
    <t>доска100</t>
  </si>
  <si>
    <t>доска 100</t>
  </si>
  <si>
    <t>доска200</t>
  </si>
  <si>
    <t>шпунт</t>
  </si>
  <si>
    <t>метиз</t>
  </si>
  <si>
    <t>крепёж</t>
  </si>
  <si>
    <t>утеплитель</t>
  </si>
  <si>
    <t>пароизол</t>
  </si>
  <si>
    <t>ветроиз</t>
  </si>
  <si>
    <t>смл</t>
  </si>
  <si>
    <t>бетон</t>
  </si>
  <si>
    <t>рубер</t>
  </si>
  <si>
    <t>арматура</t>
  </si>
  <si>
    <t>Арматура</t>
  </si>
  <si>
    <t>профиль</t>
  </si>
  <si>
    <t>Введите курс доллара к руб/грн.</t>
  </si>
  <si>
    <t>м/п</t>
  </si>
  <si>
    <t>Кровельное покрытие(гибкая черепица)</t>
  </si>
  <si>
    <t>Подкладочный ковёр</t>
  </si>
  <si>
    <t>Шуруп универсальный оцинкован. 3х40мм (для вагонки)</t>
  </si>
  <si>
    <t>Шуруп универсальный оцинкованн. 60х4мм в потай.</t>
  </si>
  <si>
    <t>Шуруп по дереву(глухарь) 220х10мм</t>
  </si>
  <si>
    <t>Карнизная планка</t>
  </si>
  <si>
    <t>цена более 500кг</t>
  </si>
  <si>
    <t>цена более 200кг</t>
  </si>
  <si>
    <t>цена менее 200кг</t>
  </si>
  <si>
    <t>цена менее 100кг</t>
  </si>
  <si>
    <t>Комплект</t>
  </si>
  <si>
    <t>Стоимость доставки</t>
  </si>
  <si>
    <t>Был выбран комплект:</t>
  </si>
  <si>
    <t>Вы выбрали город:</t>
  </si>
  <si>
    <t>количество узлов:</t>
  </si>
  <si>
    <t>кг.</t>
  </si>
  <si>
    <t>вес</t>
  </si>
  <si>
    <t>труба</t>
  </si>
  <si>
    <t>скоба</t>
  </si>
  <si>
    <t>для "Ярдома"</t>
  </si>
  <si>
    <t>для 4 частоты 5/8 части</t>
  </si>
  <si>
    <t>для 4 частоты 1/2 части</t>
  </si>
  <si>
    <t>для 4 частоты 3/8 части</t>
  </si>
  <si>
    <t>для 3 частоты 7/12 части</t>
  </si>
  <si>
    <t>для 3 частоты 5/12 части</t>
  </si>
  <si>
    <t>для "Купольного модуля"</t>
  </si>
  <si>
    <t>Ясиня</t>
  </si>
  <si>
    <t>Ясиноватая</t>
  </si>
  <si>
    <t>Яремча</t>
  </si>
  <si>
    <t>Ямполь</t>
  </si>
  <si>
    <t>Ялта</t>
  </si>
  <si>
    <t>Яготин</t>
  </si>
  <si>
    <t>Яворов</t>
  </si>
  <si>
    <t>Южный</t>
  </si>
  <si>
    <t>Южноукраинск</t>
  </si>
  <si>
    <t>Энергодар</t>
  </si>
  <si>
    <t>Щорс</t>
  </si>
  <si>
    <t>Шпола</t>
  </si>
  <si>
    <t>Шостка</t>
  </si>
  <si>
    <t>Шишаки</t>
  </si>
  <si>
    <t>Шепетовка</t>
  </si>
  <si>
    <t>Шахтёрск</t>
  </si>
  <si>
    <t>Шаргород</t>
  </si>
  <si>
    <t>Чуднов</t>
  </si>
  <si>
    <t>Чугуев</t>
  </si>
  <si>
    <t>Чортков</t>
  </si>
  <si>
    <t>Черновцы</t>
  </si>
  <si>
    <t>Чернобай</t>
  </si>
  <si>
    <t>Чернигов</t>
  </si>
  <si>
    <t>Черкассы</t>
  </si>
  <si>
    <t>Червонозаводское</t>
  </si>
  <si>
    <t>Червоноград</t>
  </si>
  <si>
    <t>Цюрупинск</t>
  </si>
  <si>
    <t>Хуст</t>
  </si>
  <si>
    <t>Христиновка</t>
  </si>
  <si>
    <t>Хорол</t>
  </si>
  <si>
    <t>Ходоров</t>
  </si>
  <si>
    <t>Хмельницкий</t>
  </si>
  <si>
    <t>Хмельник</t>
  </si>
  <si>
    <t>Херсон</t>
  </si>
  <si>
    <t>Харьков</t>
  </si>
  <si>
    <t>Харцызск</t>
  </si>
  <si>
    <t>Феодосия</t>
  </si>
  <si>
    <t>Фастов</t>
  </si>
  <si>
    <t>Устиновка</t>
  </si>
  <si>
    <t>Умань</t>
  </si>
  <si>
    <t>Ульяновка</t>
  </si>
  <si>
    <t>Узин</t>
  </si>
  <si>
    <t>Ужгород</t>
  </si>
  <si>
    <t>Угледар</t>
  </si>
  <si>
    <t>Тячев</t>
  </si>
  <si>
    <t>Тульчин</t>
  </si>
  <si>
    <t>Трускавец</t>
  </si>
  <si>
    <t>Тростянец (Сумск.обл.)</t>
  </si>
  <si>
    <t>Тростянец (Винн.обл.)</t>
  </si>
  <si>
    <t>Торез</t>
  </si>
  <si>
    <t>Токмак</t>
  </si>
  <si>
    <t>Тернополь</t>
  </si>
  <si>
    <t>Терновка</t>
  </si>
  <si>
    <t>Теребовля</t>
  </si>
  <si>
    <t>Татарбунары</t>
  </si>
  <si>
    <t>Тарутино</t>
  </si>
  <si>
    <t>Тараща</t>
  </si>
  <si>
    <t>Тальное</t>
  </si>
  <si>
    <t>Сходница</t>
  </si>
  <si>
    <t>Суходольск</t>
  </si>
  <si>
    <t>Сумы</t>
  </si>
  <si>
    <t>Судак</t>
  </si>
  <si>
    <t>Стрый</t>
  </si>
  <si>
    <t>Сторожинец</t>
  </si>
  <si>
    <t>Стебник</t>
  </si>
  <si>
    <t>Стаханов</t>
  </si>
  <si>
    <t>Старый Крым</t>
  </si>
  <si>
    <t>Староконстантинов</t>
  </si>
  <si>
    <t>Старобельск</t>
  </si>
  <si>
    <t>Ставище</t>
  </si>
  <si>
    <t>Соледар</t>
  </si>
  <si>
    <t>Снятын</t>
  </si>
  <si>
    <t>Снежное</t>
  </si>
  <si>
    <t>Смела</t>
  </si>
  <si>
    <t>Славянск</t>
  </si>
  <si>
    <t>Славутич</t>
  </si>
  <si>
    <t>Славута</t>
  </si>
  <si>
    <t>Сквира</t>
  </si>
  <si>
    <t>Скадовск</t>
  </si>
  <si>
    <t>Синельниково</t>
  </si>
  <si>
    <t>Симферополь</t>
  </si>
  <si>
    <t>Селидово</t>
  </si>
  <si>
    <t>Северодонецк</t>
  </si>
  <si>
    <t>Севастополь</t>
  </si>
  <si>
    <t>Светловодск</t>
  </si>
  <si>
    <t>Свердловск</t>
  </si>
  <si>
    <t>Сватово</t>
  </si>
  <si>
    <t>Свалява</t>
  </si>
  <si>
    <t>Сарны</t>
  </si>
  <si>
    <t>Самбор</t>
  </si>
  <si>
    <t>Саки</t>
  </si>
  <si>
    <t>Ромны</t>
  </si>
  <si>
    <t>Романов</t>
  </si>
  <si>
    <t>Рокитное (Ровенская обл.)</t>
  </si>
  <si>
    <t>Рожище</t>
  </si>
  <si>
    <t>Ровно</t>
  </si>
  <si>
    <t>Ровеньки</t>
  </si>
  <si>
    <t>Решетиловка</t>
  </si>
  <si>
    <t>Рени</t>
  </si>
  <si>
    <t>Ракитное (Киевская обл.)</t>
  </si>
  <si>
    <t>Раздельная</t>
  </si>
  <si>
    <t>Радивилов</t>
  </si>
  <si>
    <t>Радехов</t>
  </si>
  <si>
    <t>Рава-Русская</t>
  </si>
  <si>
    <t>Пятихатки</t>
  </si>
  <si>
    <t>Путивль</t>
  </si>
  <si>
    <t>Приморск</t>
  </si>
  <si>
    <t>Прилуки</t>
  </si>
  <si>
    <t>Попасная</t>
  </si>
  <si>
    <t>Полтава</t>
  </si>
  <si>
    <t>Полонное</t>
  </si>
  <si>
    <t>Пологи</t>
  </si>
  <si>
    <t>Побугское</t>
  </si>
  <si>
    <t>Пирятин</t>
  </si>
  <si>
    <t>Петрово</t>
  </si>
  <si>
    <t>Песочин</t>
  </si>
  <si>
    <t>Першотравенск</t>
  </si>
  <si>
    <t>Переяслав-Хмельницкий</t>
  </si>
  <si>
    <t>Первомайский (Хар)</t>
  </si>
  <si>
    <t>Первомайск (Ник)</t>
  </si>
  <si>
    <t>Первомайск (Луг)</t>
  </si>
  <si>
    <t>Павлоград</t>
  </si>
  <si>
    <t>Острог</t>
  </si>
  <si>
    <t>Орехов</t>
  </si>
  <si>
    <t>Орджоникидзе</t>
  </si>
  <si>
    <t>Опошня</t>
  </si>
  <si>
    <t>Олевск</t>
  </si>
  <si>
    <t>Одесса 7 км</t>
  </si>
  <si>
    <t>Одесса</t>
  </si>
  <si>
    <t>Овруч</t>
  </si>
  <si>
    <t>Обухов</t>
  </si>
  <si>
    <t>Новый Роздол</t>
  </si>
  <si>
    <t>Новый Буг</t>
  </si>
  <si>
    <t>Новые Санжары</t>
  </si>
  <si>
    <t>Новоукраинка</t>
  </si>
  <si>
    <t>Новотроицкое</t>
  </si>
  <si>
    <t>Новопсков</t>
  </si>
  <si>
    <t>Новомосковск</t>
  </si>
  <si>
    <t>Новомиргород</t>
  </si>
  <si>
    <t>Новоград-Волынский</t>
  </si>
  <si>
    <t>Нововолынск</t>
  </si>
  <si>
    <t>Новоайдар</t>
  </si>
  <si>
    <t>Новгородка</t>
  </si>
  <si>
    <t>Новая Каховка</t>
  </si>
  <si>
    <t>Никополь</t>
  </si>
  <si>
    <t>Николаевка</t>
  </si>
  <si>
    <t>Николаев</t>
  </si>
  <si>
    <t>Нижнегорский</t>
  </si>
  <si>
    <t>Нетешин</t>
  </si>
  <si>
    <t>Немиров</t>
  </si>
  <si>
    <t>Нежин</t>
  </si>
  <si>
    <t>Надвирна</t>
  </si>
  <si>
    <t>Мукачево</t>
  </si>
  <si>
    <t>Мостиска</t>
  </si>
  <si>
    <t>Моршин</t>
  </si>
  <si>
    <t>Монастырище</t>
  </si>
  <si>
    <t>Могилев-Подольский</t>
  </si>
  <si>
    <t>Михайловка</t>
  </si>
  <si>
    <t>Мироновка</t>
  </si>
  <si>
    <t>Миргород</t>
  </si>
  <si>
    <t>Мена</t>
  </si>
  <si>
    <t>Мелитополь</t>
  </si>
  <si>
    <t>Межгорье</t>
  </si>
  <si>
    <t>Марьинка</t>
  </si>
  <si>
    <t>Мариуполь</t>
  </si>
  <si>
    <t>Марганец</t>
  </si>
  <si>
    <t>Маневичи</t>
  </si>
  <si>
    <t>Малин</t>
  </si>
  <si>
    <t>Макеевка</t>
  </si>
  <si>
    <t>Любомль</t>
  </si>
  <si>
    <t>Львов</t>
  </si>
  <si>
    <t>Лысянка</t>
  </si>
  <si>
    <t>Луцк</t>
  </si>
  <si>
    <t>Луганск</t>
  </si>
  <si>
    <t>Лубны</t>
  </si>
  <si>
    <t>Лохвица</t>
  </si>
  <si>
    <t>Лозовая</t>
  </si>
  <si>
    <t>Лисичанск</t>
  </si>
  <si>
    <t>Лебедин</t>
  </si>
  <si>
    <t>Ладыжин</t>
  </si>
  <si>
    <t>Кучурган</t>
  </si>
  <si>
    <t>Курахово</t>
  </si>
  <si>
    <t>Купянск</t>
  </si>
  <si>
    <t>Куйбышево</t>
  </si>
  <si>
    <t>Кузнецовск</t>
  </si>
  <si>
    <t>Крыжополь</t>
  </si>
  <si>
    <t>Кривой Рог</t>
  </si>
  <si>
    <t>Кременчуг</t>
  </si>
  <si>
    <t>Кременная</t>
  </si>
  <si>
    <t>Кременец</t>
  </si>
  <si>
    <t>Красный Луч</t>
  </si>
  <si>
    <t>Красный Лиман</t>
  </si>
  <si>
    <t>Краснодон</t>
  </si>
  <si>
    <t>Красноград</t>
  </si>
  <si>
    <t>Красноармейск</t>
  </si>
  <si>
    <t>Красилов</t>
  </si>
  <si>
    <t>Краматорск</t>
  </si>
  <si>
    <t>Котовск</t>
  </si>
  <si>
    <t>Костополь</t>
  </si>
  <si>
    <t>Косов</t>
  </si>
  <si>
    <t>Корюковка</t>
  </si>
  <si>
    <t>Корсунь-Шевченковский</t>
  </si>
  <si>
    <t>Коростышев</t>
  </si>
  <si>
    <t>Коростень</t>
  </si>
  <si>
    <t>Константиновка</t>
  </si>
  <si>
    <t>Конотоп</t>
  </si>
  <si>
    <t>Комсомольск</t>
  </si>
  <si>
    <t>Коломыя</t>
  </si>
  <si>
    <t>Ковель</t>
  </si>
  <si>
    <t>Кобеляки</t>
  </si>
  <si>
    <t>Кировоград</t>
  </si>
  <si>
    <t>Килия</t>
  </si>
  <si>
    <t>Киев</t>
  </si>
  <si>
    <t>Керчь</t>
  </si>
  <si>
    <t>Каховка</t>
  </si>
  <si>
    <t>Карловка</t>
  </si>
  <si>
    <t>Канев</t>
  </si>
  <si>
    <t>Каменка-Днепровская</t>
  </si>
  <si>
    <t>Каменец-Подольский</t>
  </si>
  <si>
    <t>Калуш</t>
  </si>
  <si>
    <t>Каланчак</t>
  </si>
  <si>
    <t>Казатин</t>
  </si>
  <si>
    <t>Казанка</t>
  </si>
  <si>
    <t>Кагарлык</t>
  </si>
  <si>
    <t>Ичня</t>
  </si>
  <si>
    <t>Иршава</t>
  </si>
  <si>
    <t>Ирпень</t>
  </si>
  <si>
    <t>Ильичевск</t>
  </si>
  <si>
    <t>Ильинцы</t>
  </si>
  <si>
    <t>Иловайск</t>
  </si>
  <si>
    <t>Изяслав</t>
  </si>
  <si>
    <t>Изюм</t>
  </si>
  <si>
    <t>Измаил</t>
  </si>
  <si>
    <t>Ивано-Франковск</t>
  </si>
  <si>
    <t>Золочев</t>
  </si>
  <si>
    <t>Золотоноша</t>
  </si>
  <si>
    <t>Знаменка</t>
  </si>
  <si>
    <t>Змиёв</t>
  </si>
  <si>
    <t>Зеньков</t>
  </si>
  <si>
    <t>Зеленодольск</t>
  </si>
  <si>
    <t>Звенигородка</t>
  </si>
  <si>
    <t>Запорожье</t>
  </si>
  <si>
    <t>Жмеринка</t>
  </si>
  <si>
    <t>Житомир</t>
  </si>
  <si>
    <t>Жидачов</t>
  </si>
  <si>
    <t>Желтые Воды</t>
  </si>
  <si>
    <t>Жашков</t>
  </si>
  <si>
    <t>Енакиево</t>
  </si>
  <si>
    <t>Евпатория</t>
  </si>
  <si>
    <t>Дунаевцы</t>
  </si>
  <si>
    <t>Дубровица</t>
  </si>
  <si>
    <t>Дружковка</t>
  </si>
  <si>
    <t>Дрогобыч</t>
  </si>
  <si>
    <t>Донецк</t>
  </si>
  <si>
    <t>Долинская</t>
  </si>
  <si>
    <t>Долина</t>
  </si>
  <si>
    <t>Докучаевск</t>
  </si>
  <si>
    <t>Доброполье</t>
  </si>
  <si>
    <t>Днепрорудный</t>
  </si>
  <si>
    <t>Днепропетровск</t>
  </si>
  <si>
    <t>Днепродзержинск</t>
  </si>
  <si>
    <t>Димитров</t>
  </si>
  <si>
    <t>Диканька</t>
  </si>
  <si>
    <t>Дзержинск</t>
  </si>
  <si>
    <t>Джанкой</t>
  </si>
  <si>
    <t>Дебальцево</t>
  </si>
  <si>
    <t>Гуляйполе</t>
  </si>
  <si>
    <t>Гостомель</t>
  </si>
  <si>
    <t>Горохов</t>
  </si>
  <si>
    <t>Городище</t>
  </si>
  <si>
    <t>Горловка</t>
  </si>
  <si>
    <t>Голованевск</t>
  </si>
  <si>
    <t>Голая Пристань</t>
  </si>
  <si>
    <t>Глухов</t>
  </si>
  <si>
    <t>Геническ</t>
  </si>
  <si>
    <t>Гайсин</t>
  </si>
  <si>
    <t>Гайворон</t>
  </si>
  <si>
    <t>Гадяч</t>
  </si>
  <si>
    <t>Вышгород</t>
  </si>
  <si>
    <t>Вольнянск</t>
  </si>
  <si>
    <t>Вольногорск</t>
  </si>
  <si>
    <t>Волочиск</t>
  </si>
  <si>
    <t>Волноваха</t>
  </si>
  <si>
    <t>Вознесенск</t>
  </si>
  <si>
    <t>Владимир-Волынский</t>
  </si>
  <si>
    <t>Вишневое</t>
  </si>
  <si>
    <t>Виноградов</t>
  </si>
  <si>
    <t>Винница</t>
  </si>
  <si>
    <t>Вижница</t>
  </si>
  <si>
    <t>Верховцево</t>
  </si>
  <si>
    <t>Верхнеднепровск</t>
  </si>
  <si>
    <t>Великие Сорочинцы</t>
  </si>
  <si>
    <t>Великая Багачка</t>
  </si>
  <si>
    <t>Ватутино</t>
  </si>
  <si>
    <t>Васильков</t>
  </si>
  <si>
    <t>Васильевка</t>
  </si>
  <si>
    <t>Варва</t>
  </si>
  <si>
    <t>Бучач</t>
  </si>
  <si>
    <t>Буча</t>
  </si>
  <si>
    <t>Буск</t>
  </si>
  <si>
    <t>Бурштын</t>
  </si>
  <si>
    <t>Буковель</t>
  </si>
  <si>
    <t>Брянка</t>
  </si>
  <si>
    <t>Броды</t>
  </si>
  <si>
    <t>Бровары</t>
  </si>
  <si>
    <t>Боярка</t>
  </si>
  <si>
    <t>Борисполь</t>
  </si>
  <si>
    <t>Борислав</t>
  </si>
  <si>
    <t>Борзна</t>
  </si>
  <si>
    <t>Болехов</t>
  </si>
  <si>
    <t>Болград</t>
  </si>
  <si>
    <t>Бобринец</t>
  </si>
  <si>
    <t>Бершадь</t>
  </si>
  <si>
    <t>Берислав</t>
  </si>
  <si>
    <t>Березовка</t>
  </si>
  <si>
    <t>Березно</t>
  </si>
  <si>
    <t>Березань</t>
  </si>
  <si>
    <t>Бережаны</t>
  </si>
  <si>
    <t>Берегомет</t>
  </si>
  <si>
    <t>Берегово</t>
  </si>
  <si>
    <t>Бердянск</t>
  </si>
  <si>
    <t>Бердичев</t>
  </si>
  <si>
    <t>Белгород-Днестровский</t>
  </si>
  <si>
    <t>Белая Церковь</t>
  </si>
  <si>
    <t>Бахчисарай</t>
  </si>
  <si>
    <t>Бахмач</t>
  </si>
  <si>
    <t>Барановка</t>
  </si>
  <si>
    <t>Бар</t>
  </si>
  <si>
    <t>Балта</t>
  </si>
  <si>
    <t>Ахтырка</t>
  </si>
  <si>
    <t>Арциз</t>
  </si>
  <si>
    <t>Артемовск</t>
  </si>
  <si>
    <t>Армянск</t>
  </si>
  <si>
    <t>Апостолово</t>
  </si>
  <si>
    <t>Антрацит</t>
  </si>
  <si>
    <t>Ананьев</t>
  </si>
  <si>
    <t>Амвросиевка</t>
  </si>
  <si>
    <t>Алчевск</t>
  </si>
  <si>
    <t>Алушта</t>
  </si>
  <si>
    <t>Александрия</t>
  </si>
  <si>
    <t xml:space="preserve">Акимовка </t>
  </si>
  <si>
    <t>Авдеевка</t>
  </si>
  <si>
    <t>Ярославль</t>
  </si>
  <si>
    <t>Якутск</t>
  </si>
  <si>
    <t>Юрга</t>
  </si>
  <si>
    <t>Шерегеш</t>
  </si>
  <si>
    <t>Шадринск</t>
  </si>
  <si>
    <t>Доставка до клиента бесплатно *</t>
  </si>
  <si>
    <t>Ханты-Мансийск</t>
  </si>
  <si>
    <t>Усть-Кут</t>
  </si>
  <si>
    <t>Усть-Каменогорск</t>
  </si>
  <si>
    <t>Усть-Илимск</t>
  </si>
  <si>
    <t>Уральск</t>
  </si>
  <si>
    <t>Тольятти</t>
  </si>
  <si>
    <t>Темиртау</t>
  </si>
  <si>
    <t>Таштагол</t>
  </si>
  <si>
    <t>Тальжино</t>
  </si>
  <si>
    <t>Сургут</t>
  </si>
  <si>
    <t>Стерлитамак</t>
  </si>
  <si>
    <t>Спасск</t>
  </si>
  <si>
    <t>Сарбала</t>
  </si>
  <si>
    <t>Прокопьевск</t>
  </si>
  <si>
    <t>Петропавловск</t>
  </si>
  <si>
    <t>Павлодар</t>
  </si>
  <si>
    <t>Осинники</t>
  </si>
  <si>
    <t>Орск</t>
  </si>
  <si>
    <t>Озерск</t>
  </si>
  <si>
    <t>Ноябрьск</t>
  </si>
  <si>
    <t>Новороссийск</t>
  </si>
  <si>
    <t>Нижний Тагил</t>
  </si>
  <si>
    <t>Нижневартовск</t>
  </si>
  <si>
    <t>Нерюнгри</t>
  </si>
  <si>
    <t>Находка</t>
  </si>
  <si>
    <t>Набережные Челны</t>
  </si>
  <si>
    <t>Мундыбаш</t>
  </si>
  <si>
    <t>Мирный</t>
  </si>
  <si>
    <t>Миасс</t>
  </si>
  <si>
    <t>Междуреченск</t>
  </si>
  <si>
    <t>Малиновка</t>
  </si>
  <si>
    <t>Магнитогорск</t>
  </si>
  <si>
    <t>Ленск</t>
  </si>
  <si>
    <t>Ленинск-Кузнецкий</t>
  </si>
  <si>
    <t>Куйбышев</t>
  </si>
  <si>
    <t>Костанай</t>
  </si>
  <si>
    <t>Кокшетау</t>
  </si>
  <si>
    <t>Караганда</t>
  </si>
  <si>
    <t>Калтан</t>
  </si>
  <si>
    <t>Каз</t>
  </si>
  <si>
    <t>Ишим</t>
  </si>
  <si>
    <t>Златоуст</t>
  </si>
  <si>
    <t>Горно-Алтайск</t>
  </si>
  <si>
    <t>Березники</t>
  </si>
  <si>
    <t>Атырау</t>
  </si>
  <si>
    <t>Атаманово</t>
  </si>
  <si>
    <t>Астана</t>
  </si>
  <si>
    <t>Ангарск</t>
  </si>
  <si>
    <t>Алматы</t>
  </si>
  <si>
    <t>Актобе</t>
  </si>
  <si>
    <t>Актау</t>
  </si>
  <si>
    <t>0,6</t>
  </si>
  <si>
    <t>до 0,6</t>
  </si>
  <si>
    <t>до 100</t>
  </si>
  <si>
    <t>до 50</t>
  </si>
  <si>
    <t>до 40 кг</t>
  </si>
  <si>
    <t>до 20 кг</t>
  </si>
  <si>
    <t>до 10 кг</t>
  </si>
  <si>
    <t>до 5 кг</t>
  </si>
  <si>
    <t>До 1 кг</t>
  </si>
  <si>
    <t>минимум</t>
  </si>
  <si>
    <t>www.rateksib.ru</t>
  </si>
  <si>
    <t>объем/м3</t>
  </si>
  <si>
    <t>вес/кг</t>
  </si>
  <si>
    <t>Цены на доставку грузов и почтовых отправлений из г. Новокузнецк (Кемеровская обл.)</t>
  </si>
  <si>
    <t xml:space="preserve"> ИНТАЙМ Украина</t>
  </si>
  <si>
    <t>Действительно с 26.01.2015 г.</t>
  </si>
  <si>
    <t>Доставка комплекта соединителей</t>
  </si>
  <si>
    <t>в город</t>
  </si>
  <si>
    <t>пиндостан</t>
  </si>
  <si>
    <t>пиндосия</t>
  </si>
  <si>
    <t>жмерика</t>
  </si>
  <si>
    <t>израиль</t>
  </si>
  <si>
    <t>скоро</t>
  </si>
  <si>
    <t>будет</t>
  </si>
  <si>
    <t>под</t>
  </si>
  <si>
    <t>водой</t>
  </si>
  <si>
    <t>эту ячейку незя трогать</t>
  </si>
  <si>
    <t>Смета стен второго этажа</t>
  </si>
  <si>
    <t>общ.вес</t>
  </si>
  <si>
    <t>штук скоб</t>
  </si>
  <si>
    <t>ящ.скоб</t>
  </si>
  <si>
    <t>ящ.труб</t>
  </si>
  <si>
    <t>кол. Ящ</t>
  </si>
  <si>
    <t>округ ящ</t>
  </si>
  <si>
    <t>руб комп.</t>
  </si>
  <si>
    <t>грн комп.</t>
  </si>
  <si>
    <t>индекс стоимости</t>
  </si>
  <si>
    <t>Болты М12х70мм для узлового соединения</t>
  </si>
  <si>
    <t>Купол</t>
  </si>
  <si>
    <t>Козырьки</t>
  </si>
  <si>
    <t>Обзорная башня</t>
  </si>
  <si>
    <t>Окна</t>
  </si>
  <si>
    <t>Стены 1</t>
  </si>
  <si>
    <t>Стены 2</t>
  </si>
  <si>
    <t>рублейцовск</t>
  </si>
  <si>
    <t>рублейежное</t>
  </si>
  <si>
    <t>Доллар       к</t>
  </si>
  <si>
    <t>Главная</t>
  </si>
  <si>
    <t>Перекр.1</t>
  </si>
  <si>
    <t>Перекр.2</t>
  </si>
  <si>
    <t>Выберите наиболее подходящий грунт</t>
  </si>
  <si>
    <t>мм</t>
  </si>
  <si>
    <t>мм.</t>
  </si>
  <si>
    <t>Наименование</t>
  </si>
  <si>
    <t>м.п.</t>
  </si>
  <si>
    <t>Хомут - арматура АIII    Ф           мм.</t>
  </si>
  <si>
    <t>Продольная арматура АIII Ф           мм.</t>
  </si>
  <si>
    <t>Погонаж</t>
  </si>
  <si>
    <r>
      <t>м</t>
    </r>
    <r>
      <rPr>
        <b/>
        <i/>
        <sz val="12"/>
        <color indexed="10"/>
        <rFont val="GOST type B"/>
        <family val="2"/>
      </rPr>
      <t>.куб.</t>
    </r>
  </si>
  <si>
    <t>Вес</t>
  </si>
  <si>
    <t>Глухарь(шуруп 12х100мм оцинкованный)</t>
  </si>
  <si>
    <t>Объём/Площадь</t>
  </si>
  <si>
    <t>Количество</t>
  </si>
  <si>
    <t>рулона</t>
  </si>
  <si>
    <t>Высота бетона над уровнем земли</t>
  </si>
  <si>
    <t>Высота оголовка над уровнем земли</t>
  </si>
  <si>
    <t>Заглубление трубы в бетон</t>
  </si>
  <si>
    <t>ведра</t>
  </si>
  <si>
    <t>Вязальная проволока 1,2мм</t>
  </si>
  <si>
    <t>Доставка</t>
  </si>
  <si>
    <t>Ф сваи</t>
  </si>
  <si>
    <t>Нагрузка на сваю</t>
  </si>
  <si>
    <t>Брус 200х200мм для обвязки свай</t>
  </si>
  <si>
    <t>Уголок крепёжный 40х40х140х2мм оцинкованный</t>
  </si>
  <si>
    <t>штуки</t>
  </si>
  <si>
    <t>Уголок крепёжный усиленный 105х105х90х2мм оцинкованный</t>
  </si>
  <si>
    <t>штук</t>
  </si>
  <si>
    <t>Шурупы для крепёжных уголков (Шуруп универсальный, оцинкованный Ф5х50мм)</t>
  </si>
  <si>
    <t>Гайка М12 оцинкованная Класс прочности 6.  DIN 934</t>
  </si>
  <si>
    <t>Болт М12х70 оцинкованный Класс прочности 5.8  ГОСТ 7805, 7798</t>
  </si>
  <si>
    <t>Ботономешалка</t>
  </si>
  <si>
    <t>Круги для болгарки</t>
  </si>
  <si>
    <t>штука</t>
  </si>
  <si>
    <t>Угловая шлифмашина (Болгарка)</t>
  </si>
  <si>
    <t>Кувалда 5-10 кг</t>
  </si>
  <si>
    <t xml:space="preserve">Садовая тачка </t>
  </si>
  <si>
    <t>Строительный нож</t>
  </si>
  <si>
    <t>Карандаш строительный</t>
  </si>
  <si>
    <t>Маркер перманентный 0,5мм (Маркер для CD/DVD)</t>
  </si>
  <si>
    <t>Рулетки 10 м.</t>
  </si>
  <si>
    <t>Строительный уровень 1-2м</t>
  </si>
  <si>
    <t>Строительный уровень на магнитах 15-30см</t>
  </si>
  <si>
    <t>Нивелир лазерный или водный уровень(сообщяющиеся сосуды)</t>
  </si>
  <si>
    <t>Дополнительный инструмент</t>
  </si>
  <si>
    <t>м.</t>
  </si>
  <si>
    <t>Строительные, кожаные перчатки</t>
  </si>
  <si>
    <t>пары</t>
  </si>
  <si>
    <t>Смета фунд.</t>
  </si>
  <si>
    <t xml:space="preserve">Смета козырьков </t>
  </si>
  <si>
    <t>Лезвие для строительного ножа</t>
  </si>
  <si>
    <t>Рулетки 3 м.</t>
  </si>
  <si>
    <t>Смета перекрытия первого этажа</t>
  </si>
  <si>
    <t>Доска 200х50 мм</t>
  </si>
  <si>
    <t>Доска 100х25 мм</t>
  </si>
  <si>
    <t>Доска шпунтованая(половая доска) х35 мм</t>
  </si>
  <si>
    <t>Шурупы или гвозди для сбивки каркаса 90х4 мм</t>
  </si>
  <si>
    <t>Пароизоляционная плёнка</t>
  </si>
  <si>
    <t>Ветро-гидроизоляционная мембрана</t>
  </si>
  <si>
    <t>Шуруп универсальный оцинкован.4х70мм (для крепления полочек к лагам)</t>
  </si>
  <si>
    <t>Рулетки 5м.</t>
  </si>
  <si>
    <t>Скобы для степлера</t>
  </si>
  <si>
    <t>пачки</t>
  </si>
  <si>
    <t>Струбцина быстрозажимная</t>
  </si>
  <si>
    <t>Шуруп( Глухарь) 150х8 мм для закладных</t>
  </si>
  <si>
    <t>Шуруп универсальный оцинкован.3х70мм (для монтажа доски шпунтованной)</t>
  </si>
  <si>
    <t>Монтировка (гвоздодёр) 500мм</t>
  </si>
  <si>
    <t>Смета перекрытия второго этажа</t>
  </si>
  <si>
    <t>Район фунд.</t>
  </si>
  <si>
    <t>Пиломатериалы черновые (доска, брус)</t>
  </si>
  <si>
    <t>Смета внутренних стен первого этажа</t>
  </si>
  <si>
    <t>Смета обзорной башни</t>
  </si>
  <si>
    <t>Шумоизоляция(Утеплитель)</t>
  </si>
  <si>
    <t>Обшивка внутренняя (вагонка)</t>
  </si>
  <si>
    <t>м.кв</t>
  </si>
  <si>
    <t>Брус 50х50мм</t>
  </si>
  <si>
    <t>Доска 100 х25мм</t>
  </si>
  <si>
    <t>Уголок крепёжный усиленный 100х100х60х2мм оцинкованный</t>
  </si>
  <si>
    <t>Доска 200х50 мм (не считая зелных рёбер)</t>
  </si>
  <si>
    <t>Утеплитель основной, для стен</t>
  </si>
  <si>
    <t>Утеплитель для стен, в области вентт.каналов. ("Полинор" или строит. пена)</t>
  </si>
  <si>
    <t>балона</t>
  </si>
  <si>
    <t>Болты М12Х70мм для УС</t>
  </si>
  <si>
    <t>Болты М12Х100мм для УС</t>
  </si>
  <si>
    <t>Шайба усиленная М12 ГОСТ 6958-78 для УС</t>
  </si>
  <si>
    <t>Отлив на внутренний угол( стык кровли с башней)</t>
  </si>
  <si>
    <t>Перфолист ячейка 5мм</t>
  </si>
  <si>
    <t>Шуруп универсальный в патай, оцинкованный, для внутренней обшивки 4х60мм</t>
  </si>
  <si>
    <t>Шуруп универсальный в патай, оцинкованный, для внешней обшивки 4х60мм</t>
  </si>
  <si>
    <t>С верандой (малым куполом)</t>
  </si>
  <si>
    <t>Без веранды (малого купола)</t>
  </si>
  <si>
    <t xml:space="preserve">Огнебиозащита Неомид 450-1 </t>
  </si>
  <si>
    <t>Площадка оголовка (полоса 100х6х300 мм)</t>
  </si>
  <si>
    <t>Труба ПВХ Ф 250</t>
  </si>
  <si>
    <t>Шпилька ф 16 х 250</t>
  </si>
  <si>
    <t>Гайка М16 оцинкованная Класс прочности 6.  DIN 934</t>
  </si>
  <si>
    <t>Смета на сваи</t>
  </si>
  <si>
    <t>Смета на обвязку свай</t>
  </si>
  <si>
    <t>Мастика Мастика битумно-полимерная холодная для торца сваи</t>
  </si>
  <si>
    <t>тюбиков</t>
  </si>
  <si>
    <t>Химический анкер (300мл)</t>
  </si>
  <si>
    <t>мл</t>
  </si>
  <si>
    <t>Рубероид (Рулон 15м)</t>
  </si>
  <si>
    <t>Расходные материалы</t>
  </si>
  <si>
    <t>Трудозатраты</t>
  </si>
  <si>
    <t>сваи</t>
  </si>
  <si>
    <t>Обвязка фундамента( напил балок, монтаж балок, монтаж шпильки, крепление оголовка)</t>
  </si>
  <si>
    <t>обвязка</t>
  </si>
  <si>
    <t>Сваи фундамента ( бурение отверстий в земле под сваю, изготовление арматурных каркасов, монтаж каркасов, замес бетона, заливка бетоном)</t>
  </si>
  <si>
    <t>Общая стоимость труда</t>
  </si>
  <si>
    <t>Изготовление каркаса ( напил рёбер, сверление отверстий, монтаж скоб, пропитка)</t>
  </si>
  <si>
    <t>Возведение каркаса (сборка рёбер каркаса сферы)</t>
  </si>
  <si>
    <t>рёбер</t>
  </si>
  <si>
    <t>отрезка</t>
  </si>
  <si>
    <t>Мотаж пароизоляционной плёнки и контрбруса( изготовление отрезков, сверление отверстий и монтаж)</t>
  </si>
  <si>
    <t>Мотаж ветро-гидроизоляционной мембраны и контрбруса( изготовление отрезков, сверление отверстий и монтаж)</t>
  </si>
  <si>
    <t>Укладка утеплителя (нарезка, установка, монтаж упорной "паутинки" из проволоки)</t>
  </si>
  <si>
    <t>фигур</t>
  </si>
  <si>
    <t>Раскрой треугольников наружной обшивки (фсф фаеры)</t>
  </si>
  <si>
    <t>Монтаж наружной обшивки (фанера фсф)</t>
  </si>
  <si>
    <t>Монтаж внутренней обшивки (вагонка)</t>
  </si>
  <si>
    <t>Раскрой внутренних треугольников обшивки (вагонка)</t>
  </si>
  <si>
    <t>Монтаж гибкой черепицы и подкладочного ковра</t>
  </si>
  <si>
    <t>Виды труда</t>
  </si>
  <si>
    <t xml:space="preserve">Объём </t>
  </si>
  <si>
    <t xml:space="preserve">Общая стоимость </t>
  </si>
  <si>
    <t>Фанера ФСФ 15мм (Обшивка снаружи)</t>
  </si>
  <si>
    <t>Вагонка ( обшивка снизу)</t>
  </si>
  <si>
    <t>Объём</t>
  </si>
  <si>
    <t>Изготовление каркаса (напил, монтаж)</t>
  </si>
  <si>
    <t>Раскрой и монтаж наружной и внутренней обшивки</t>
  </si>
  <si>
    <t>Монтаж гибкой черепицы, подкладочного ковра, ветровой планки.</t>
  </si>
  <si>
    <t>Утеплитель (минеральная вата Кнауф-теплорулон)</t>
  </si>
  <si>
    <t>Монтаж каркаса</t>
  </si>
  <si>
    <t>Пароизоляционная плёнка и контррейка</t>
  </si>
  <si>
    <t>Общая стоимость</t>
  </si>
  <si>
    <t>Шумоизоляция (утеплитель)</t>
  </si>
  <si>
    <t>Укладка утеплителя(шумоизоляции)</t>
  </si>
  <si>
    <t>Укладка утеплителя (шумоизоляции)</t>
  </si>
  <si>
    <t>Обвязка под доску перекрытия</t>
  </si>
  <si>
    <t>Доска 100х25мм ( обрешётка )</t>
  </si>
  <si>
    <t>Монтаж обрешётки</t>
  </si>
  <si>
    <t>Монтаж обрешотки</t>
  </si>
  <si>
    <t>Монтаж обрешётки (доска 25мм)</t>
  </si>
  <si>
    <t>Обшивка СМЛ плитой</t>
  </si>
  <si>
    <t>Пароизоляционная плёнка (санузел)</t>
  </si>
  <si>
    <t>Электропороводка</t>
  </si>
  <si>
    <t>точек</t>
  </si>
  <si>
    <t>Вентиляция</t>
  </si>
  <si>
    <t>точки</t>
  </si>
  <si>
    <t>Сантехника</t>
  </si>
  <si>
    <t>Доска 100х25мм (обрешётка)</t>
  </si>
  <si>
    <t>Пароизоляция (санузел)</t>
  </si>
  <si>
    <t>ЦСП или СМЛ плита 10х1200х2400мм</t>
  </si>
  <si>
    <t>ЦСП или СМЛ плита 10х1200х2400м</t>
  </si>
  <si>
    <t>Саморезы для  СМЛ (ГКЛ по дереву (чёрные))3,5х35</t>
  </si>
  <si>
    <t>Доска 100х25 мм (обрешётка)</t>
  </si>
  <si>
    <t>Утеплитель для пола</t>
  </si>
  <si>
    <t>Изготовление и монтаж каркаса</t>
  </si>
  <si>
    <t xml:space="preserve">Пароизоляционная плёнка </t>
  </si>
  <si>
    <t>Обшивка вагонкой</t>
  </si>
  <si>
    <t>Наружная обшивка</t>
  </si>
  <si>
    <t>Лист перфорированный для продуха</t>
  </si>
  <si>
    <t>Смета окон</t>
  </si>
  <si>
    <t>Шуруп универсальный, оцинкованный Ф6х60мм</t>
  </si>
  <si>
    <t>Бутилкаучуковый скотч шириной 50мм</t>
  </si>
  <si>
    <t>Отлив 30х95х100мм</t>
  </si>
  <si>
    <t>Рейка 25х25мм или 25х30мм</t>
  </si>
  <si>
    <t>Шуруп универсальный, оцинкованный Ф4х60мм</t>
  </si>
  <si>
    <t>Монтажная пена</t>
  </si>
  <si>
    <t>окна</t>
  </si>
  <si>
    <t>окно</t>
  </si>
  <si>
    <t>окон</t>
  </si>
  <si>
    <t>Полоса стальная оцинкованная 50х4мм (Прижим)</t>
  </si>
  <si>
    <t>Доска 200х50 мм (калиброванная)</t>
  </si>
  <si>
    <t>Уплотнитель самоклеющийся, оконный Ш-образный 2*9х4мм</t>
  </si>
  <si>
    <t>Шуруп универсальный, оцинкованный Ф6х130мм</t>
  </si>
  <si>
    <t>балонов</t>
  </si>
  <si>
    <t>Морилка для рамы</t>
  </si>
  <si>
    <t>Изготовление и монтаж деревянного каркаса окон</t>
  </si>
  <si>
    <t>Монтаж откосов (моетаж пароизоляция, ветрозащита, рейки 25х25мм, фанеры, утепление монтажной пенкой, врезка треугольного проёма в наружной обшивке)</t>
  </si>
  <si>
    <t>Установка треугольных окон (монтаж стеклопакета, уплотнителей, бутилкаучукового скотча, прижимной планки и отлива)</t>
  </si>
  <si>
    <t>%</t>
  </si>
  <si>
    <t>Установка металлопластиковых окон, и мансардных квадратных.</t>
  </si>
  <si>
    <t>$  ДОЛЛАР</t>
  </si>
  <si>
    <t>РУБЛЬ</t>
  </si>
  <si>
    <t>ГРИВНА</t>
  </si>
  <si>
    <t>Утеплитель и шумоизоляция (минфата)</t>
  </si>
  <si>
    <t>Обшивка наружная (ФСФ фанера)</t>
  </si>
  <si>
    <t>Обобщённая смета основных материалов, для проекта "Панцирь"</t>
  </si>
  <si>
    <t>Смета купольной части</t>
  </si>
  <si>
    <t>Болты М12х100мм для узлового соединения</t>
  </si>
  <si>
    <t>Болты М6х75мм для узлового соединения(рукав обрезанный)</t>
  </si>
  <si>
    <t>Гайка М6 оцинк для УС(рукав обрезанный)</t>
  </si>
  <si>
    <t>Болт М12х30 оцинк. (для переходника узлового соединения)</t>
  </si>
  <si>
    <t>"Рукав" соединителя (с запасом 5шт)</t>
  </si>
  <si>
    <t>Малая скоба соединителя (с запасом 5шт.)</t>
  </si>
  <si>
    <t>"Рукав обрезанный" соединителя (с запасам 1 шт)</t>
  </si>
  <si>
    <t>Переходник оцинкованный (Труба профильная 60х30х2) (+1шт.)</t>
  </si>
  <si>
    <t>Сердечник соединителя (труба ф 127х8ммх80мм оцинк.) (+1шт.)</t>
  </si>
  <si>
    <t>Опорное узловое соединение "пятка" (сюда же входят +4 трубы)</t>
  </si>
  <si>
    <t>Комплект узловых соединений    "Клешня"</t>
  </si>
  <si>
    <t>Гвозди для кровли 25х3мм</t>
  </si>
  <si>
    <t>Пароизоляция(+10%)</t>
  </si>
  <si>
    <t>Ветро/гидрозащита(+10%)</t>
  </si>
  <si>
    <t>Подкладочный ковёр +15% (пример: ТехноНИКОЛЬ AnderepUltra)</t>
  </si>
  <si>
    <t>Битумная черепица ( Шинглас. Узор - кантри) (+15%)</t>
  </si>
  <si>
    <t>Ендовый ковёр (рулон шириной 1 метр)(с запасом)</t>
  </si>
  <si>
    <t>Аэратор Ф150мм</t>
  </si>
  <si>
    <t>Обшивка внутренняя (вагонка) (10%)</t>
  </si>
  <si>
    <t>Обшивка кровли (ФСФ фанера 1250 х 2500 х 15 мм) ( Площадь листа 3,125м.кв)</t>
  </si>
  <si>
    <t>Обшивка стен наружная (ФК фанера 1250 х 2500 х 10 мм) ( Площадь листа 3,125м.кв)</t>
  </si>
  <si>
    <t>Брус 50х50мм(контрбрус и контррейка)</t>
  </si>
  <si>
    <t>Шурупы универсальные, оцинкованные, для контбруса 5х90мм</t>
  </si>
  <si>
    <t>Шурупы универсальные, оцинкованные, для обрешётки 5х70мм</t>
  </si>
  <si>
    <t>Шуруп универсальный в патай, оцинкованный, для внешней обшивки стен 4х35 мм</t>
  </si>
  <si>
    <t>Уголок перфорированный усиленный 105х105х80х2мм</t>
  </si>
  <si>
    <t>Шуруп (Глухарь) М12х100 мм Или болт М12х70 мм</t>
  </si>
  <si>
    <t>Неомид 430 Eco - Невымываемый антисептик концентрат 1:9 для контрбруса и контррейки</t>
  </si>
  <si>
    <t>Неомид Extra Eco Proff- Антисептик трудновымываемыйконцентрат 1:4 для рёбер каркаса, стоек и нижней обвязки</t>
  </si>
  <si>
    <t xml:space="preserve">Рулетки </t>
  </si>
  <si>
    <t>Перчатки</t>
  </si>
  <si>
    <t>Бита PH-2 титановая</t>
  </si>
  <si>
    <t>Уголок из листового алюминия или стали 200х50х0,75мм (отливы)</t>
  </si>
  <si>
    <t>Уголок из листового алюминия или стали 50х50х0,75мм (отливы)</t>
  </si>
  <si>
    <t>Доска 200х50мм +10%</t>
  </si>
  <si>
    <t>Шуруп с шестигранной головкой (Глухарь DIN 571) 200х8мм, оцинкованный</t>
  </si>
  <si>
    <t>Канат 8,1-Г-ВК-Ж-Н-Р-Т-180 ГОСТ 7668-80 Или ГОСТ 7668-80,
6х36 (1+7/7+14) + 1 о.с. (DIN 3064 Round strand rope 6x36WS-FC)</t>
  </si>
  <si>
    <t>Талреп М16 вилка+вилка, оцинкованный. ГОСТ 9690-71 или DIN1478</t>
  </si>
  <si>
    <t>Герметик для швов на кровле( мастика бутилкаучуковая; или герметик для срубов)</t>
  </si>
  <si>
    <t>Мастика для подкладочного ковра (пример: Технониколь №23 "Фиксер" 3,6кг)</t>
  </si>
  <si>
    <t>Лист перфорированный 0,75мм С ячейкой Ф5мм(полоса шириной ~100мм)</t>
  </si>
  <si>
    <t>Отлив 0,75 по периметру здания для вентиляции(подходит оконный 100мм)</t>
  </si>
  <si>
    <t>Шуруп с резиновой прокладкой по дереву 4,8х19 (для кровли)(для отливов парапета)</t>
  </si>
  <si>
    <t>Шуруп универсальный, оцинкованный, 6х140мм (для парапета)</t>
  </si>
  <si>
    <t>Нащельник для вагонки 8х30мм +10%</t>
  </si>
  <si>
    <t>Pir Плита 50мм</t>
  </si>
  <si>
    <t>Доска 25х100 мм. (обрешётка)</t>
  </si>
  <si>
    <t>Шуруп универсальный, оцинкованный 30х5 мм для скрутки листов фанеры</t>
  </si>
  <si>
    <t>Наружная отделка стен</t>
  </si>
  <si>
    <t>Шпилька М12х1000 оцинкованная DIN 975 (1 шт = 0,721кг) (Крепление нижней обвязки)</t>
  </si>
  <si>
    <t>Шайба М12 оцинкованная ГОСТ 11371, DIN 125 обычая (крепление нижней обвязки)</t>
  </si>
  <si>
    <t>Гайка М12 для УС, переходов двуосевых, нижней обвязки</t>
  </si>
  <si>
    <t>Брус 200х100мм для нижней обвязки</t>
  </si>
  <si>
    <t>Межвенцовый утеплитель(лён)</t>
  </si>
  <si>
    <t>Шуруп универсальный в патай, оцинкованный, для обшивки кровли(фанера 15мм) 5х70мм</t>
  </si>
  <si>
    <t>Шуруп универсальный в патай, оцинкованный, для внутренней обшивки(вагонка) 4х50мм</t>
  </si>
  <si>
    <t>фигуры</t>
  </si>
  <si>
    <t>ОК-1 металлопластиковое, прямоугольное)  С одной створкой</t>
  </si>
  <si>
    <t>ОК-2 металлопластиковое, прямоугольное)  С одной створкой</t>
  </si>
  <si>
    <t>ОК-3 металлопластиковое, прямоугольное)  глухое</t>
  </si>
  <si>
    <t>ОК-4 металлопластиковое, прямоугольное)  глухое</t>
  </si>
  <si>
    <t>Д-1 (дверь входная 1000х2000)</t>
  </si>
  <si>
    <t xml:space="preserve">Д-2 (Ворота гаражные) </t>
  </si>
  <si>
    <t>ворот</t>
  </si>
  <si>
    <t>дверей</t>
  </si>
  <si>
    <t>Д-3 (дверь межкомнатная)</t>
  </si>
  <si>
    <t>Д-4 (дверь межкомнатная)</t>
  </si>
  <si>
    <t>Д-5 (дверь межкомнатная)</t>
  </si>
  <si>
    <r>
      <t>В какой город нужно доставить комплект соединителей</t>
    </r>
    <r>
      <rPr>
        <b/>
        <sz val="12"/>
        <color indexed="13"/>
        <rFont val="GOST type B"/>
        <family val="2"/>
      </rPr>
      <t>?</t>
    </r>
  </si>
</sst>
</file>

<file path=xl/styles.xml><?xml version="1.0" encoding="utf-8"?>
<styleSheet xmlns="http://schemas.openxmlformats.org/spreadsheetml/2006/main">
  <numFmts count="4">
    <numFmt numFmtId="164" formatCode="#,##0.0_ ;[Red]\-#,##0.0\ "/>
    <numFmt numFmtId="165" formatCode="#,##0.0"/>
    <numFmt numFmtId="166" formatCode="0.0"/>
    <numFmt numFmtId="167" formatCode="#,##0_р_."/>
  </numFmts>
  <fonts count="143">
    <font>
      <sz val="11"/>
      <color theme="1"/>
      <name val="Calibri"/>
      <family val="2"/>
      <charset val="204"/>
      <scheme val="minor"/>
    </font>
    <font>
      <sz val="9"/>
      <color indexed="8"/>
      <name val="Times New Roman"/>
      <family val="1"/>
      <charset val="204"/>
    </font>
    <font>
      <sz val="10"/>
      <color indexed="8"/>
      <name val="Symbol"/>
      <family val="1"/>
      <charset val="2"/>
    </font>
    <font>
      <sz val="10"/>
      <color indexed="8"/>
      <name val="Times New Roman"/>
      <family val="1"/>
      <charset val="204"/>
    </font>
    <font>
      <sz val="8"/>
      <name val="Tahoma"/>
      <family val="2"/>
      <charset val="204"/>
    </font>
    <font>
      <sz val="10"/>
      <color indexed="8"/>
      <name val="Arial Cyr"/>
    </font>
    <font>
      <b/>
      <sz val="7"/>
      <color indexed="8"/>
      <name val="Arial"/>
      <family val="2"/>
      <charset val="204"/>
    </font>
    <font>
      <b/>
      <sz val="6"/>
      <color indexed="9"/>
      <name val="Arial"/>
      <family val="2"/>
      <charset val="204"/>
    </font>
    <font>
      <b/>
      <sz val="8"/>
      <color indexed="8"/>
      <name val="Arial"/>
      <family val="2"/>
      <charset val="204"/>
    </font>
    <font>
      <u/>
      <sz val="9"/>
      <color indexed="10"/>
      <name val="Arial"/>
      <family val="2"/>
      <charset val="204"/>
    </font>
    <font>
      <b/>
      <sz val="8"/>
      <color indexed="9"/>
      <name val="Arial"/>
      <family val="2"/>
      <charset val="204"/>
    </font>
    <font>
      <b/>
      <sz val="12"/>
      <color indexed="8"/>
      <name val="Arial"/>
      <family val="2"/>
      <charset val="204"/>
    </font>
    <font>
      <sz val="22"/>
      <color indexed="8"/>
      <name val="Arial Cyr"/>
    </font>
    <font>
      <sz val="8"/>
      <color indexed="8"/>
      <name val="Arial"/>
      <family val="2"/>
      <charset val="204"/>
    </font>
    <font>
      <b/>
      <sz val="8"/>
      <color indexed="9"/>
      <name val="Arial Cy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2"/>
      <color indexed="10"/>
      <name val="GOST type B"/>
      <family val="2"/>
    </font>
    <font>
      <b/>
      <i/>
      <sz val="18"/>
      <color indexed="13"/>
      <name val="GOST type B"/>
      <family val="2"/>
    </font>
    <font>
      <b/>
      <i/>
      <sz val="14"/>
      <color indexed="13"/>
      <name val="GOST type B"/>
      <family val="2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8"/>
      <color theme="10"/>
      <name val="Times New Roman"/>
      <family val="2"/>
      <charset val="204"/>
    </font>
    <font>
      <sz val="11"/>
      <color theme="1"/>
      <name val="Calibri"/>
      <family val="2"/>
      <scheme val="minor"/>
    </font>
    <font>
      <sz val="8"/>
      <color theme="1"/>
      <name val="Times New Roman"/>
      <family val="2"/>
      <charset val="204"/>
    </font>
    <font>
      <sz val="11"/>
      <color rgb="FFFF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8"/>
      <color rgb="FFF4C4D9"/>
      <name val="Times New Roman"/>
      <family val="1"/>
      <charset val="204"/>
    </font>
    <font>
      <b/>
      <sz val="11"/>
      <color rgb="FFF4C4D9"/>
      <name val="Times New Roman"/>
      <family val="1"/>
      <charset val="204"/>
    </font>
    <font>
      <b/>
      <sz val="12"/>
      <color rgb="FFF4C4D9"/>
      <name val="Times New Roman"/>
      <family val="1"/>
      <charset val="204"/>
    </font>
    <font>
      <b/>
      <sz val="9"/>
      <color rgb="FFF4C4D9"/>
      <name val="Times New Roman"/>
      <family val="1"/>
      <charset val="204"/>
    </font>
    <font>
      <b/>
      <sz val="6"/>
      <color rgb="FFF4C4D9"/>
      <name val="Times New Roman"/>
      <family val="1"/>
      <charset val="204"/>
    </font>
    <font>
      <b/>
      <sz val="10"/>
      <color rgb="FFF4C4D9"/>
      <name val="Times New Roman"/>
      <family val="1"/>
      <charset val="204"/>
    </font>
    <font>
      <b/>
      <sz val="28"/>
      <color theme="1"/>
      <name val="Times New Roman"/>
      <family val="2"/>
      <charset val="204"/>
    </font>
    <font>
      <b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9"/>
      <color theme="1"/>
      <name val="GOST Type BU"/>
      <charset val="204"/>
    </font>
    <font>
      <b/>
      <sz val="9"/>
      <color theme="1"/>
      <name val="Times New Roman"/>
      <family val="1"/>
      <charset val="204"/>
    </font>
    <font>
      <u/>
      <sz val="12"/>
      <color theme="10"/>
      <name val="Times New Roman"/>
      <family val="2"/>
      <charset val="204"/>
    </font>
    <font>
      <b/>
      <i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color rgb="FFFFFFCC"/>
      <name val="Times New Roman"/>
      <family val="1"/>
      <charset val="204"/>
    </font>
    <font>
      <b/>
      <sz val="18"/>
      <color theme="0"/>
      <name val="Times New Roman"/>
      <family val="1"/>
      <charset val="204"/>
    </font>
    <font>
      <b/>
      <sz val="11"/>
      <color theme="1"/>
      <name val="GOST Type BU"/>
      <charset val="204"/>
    </font>
    <font>
      <b/>
      <sz val="8"/>
      <color theme="1"/>
      <name val="GOST Type BU"/>
      <charset val="204"/>
    </font>
    <font>
      <b/>
      <sz val="10"/>
      <color theme="1"/>
      <name val="GOST Type BU"/>
      <charset val="204"/>
    </font>
    <font>
      <b/>
      <sz val="12"/>
      <color theme="1"/>
      <name val="GOST Type BU"/>
      <charset val="204"/>
    </font>
    <font>
      <b/>
      <sz val="20"/>
      <color theme="1"/>
      <name val="GOST Type BU"/>
      <charset val="204"/>
    </font>
    <font>
      <b/>
      <i/>
      <sz val="12"/>
      <color rgb="FFFFFF00"/>
      <name val="GOST Type BU"/>
      <charset val="204"/>
    </font>
    <font>
      <sz val="10"/>
      <color theme="0"/>
      <name val="Arial Cyr"/>
    </font>
    <font>
      <sz val="22"/>
      <color rgb="FFFF9900"/>
      <name val="OrthodoxLoose"/>
      <family val="1"/>
      <charset val="204"/>
    </font>
    <font>
      <sz val="28"/>
      <color rgb="FFFFFF00"/>
      <name val="Arial Cyr"/>
    </font>
    <font>
      <sz val="10"/>
      <color rgb="FFFF0000"/>
      <name val="Arial Cyr"/>
    </font>
    <font>
      <b/>
      <u/>
      <sz val="30"/>
      <color rgb="FFFF0000"/>
      <name val="OrthodoxLoose"/>
      <family val="1"/>
      <charset val="204"/>
    </font>
    <font>
      <sz val="16"/>
      <color rgb="FFFFFF00"/>
      <name val="OrthodoxLoose"/>
      <family val="1"/>
      <charset val="204"/>
    </font>
    <font>
      <b/>
      <sz val="20"/>
      <color rgb="FFFFFF00"/>
      <name val="OrthodoxLoose"/>
      <family val="1"/>
      <charset val="204"/>
    </font>
    <font>
      <u/>
      <sz val="8"/>
      <color theme="0"/>
      <name val="Times New Roman"/>
      <family val="2"/>
      <charset val="204"/>
    </font>
    <font>
      <b/>
      <i/>
      <sz val="14"/>
      <color rgb="FFFFFF00"/>
      <name val="GOST type B"/>
      <family val="2"/>
    </font>
    <font>
      <sz val="20"/>
      <color rgb="FFFFFF00"/>
      <name val="OrthodoxLoose"/>
      <family val="1"/>
      <charset val="204"/>
    </font>
    <font>
      <i/>
      <sz val="20"/>
      <color rgb="FFFFFF00"/>
      <name val="GOST type B"/>
      <family val="2"/>
    </font>
    <font>
      <b/>
      <u/>
      <sz val="30"/>
      <color theme="0"/>
      <name val="OrthodoxLoose"/>
      <family val="1"/>
      <charset val="204"/>
    </font>
    <font>
      <sz val="28"/>
      <color theme="1"/>
      <name val="Calibri"/>
      <family val="2"/>
      <charset val="204"/>
      <scheme val="minor"/>
    </font>
    <font>
      <b/>
      <i/>
      <sz val="8"/>
      <color rgb="FFFFFF00"/>
      <name val="GOST type B"/>
      <family val="2"/>
    </font>
    <font>
      <b/>
      <i/>
      <sz val="11"/>
      <color rgb="FFFFFF00"/>
      <name val="GOST type B"/>
      <family val="2"/>
    </font>
    <font>
      <b/>
      <i/>
      <sz val="10"/>
      <color rgb="FFFFFF00"/>
      <name val="GOST type B"/>
      <family val="2"/>
    </font>
    <font>
      <b/>
      <i/>
      <sz val="12"/>
      <color rgb="FFFFFF00"/>
      <name val="GOST type B"/>
      <family val="2"/>
    </font>
    <font>
      <b/>
      <sz val="20"/>
      <color rgb="FFFF0000"/>
      <name val="GOST Type BU"/>
      <charset val="204"/>
    </font>
    <font>
      <sz val="12"/>
      <color rgb="FFFF0000"/>
      <name val="GOST type B"/>
      <family val="2"/>
    </font>
    <font>
      <b/>
      <sz val="12"/>
      <color rgb="FFFF0000"/>
      <name val="GOST type B"/>
      <family val="2"/>
    </font>
    <font>
      <sz val="9"/>
      <color rgb="FFFF0000"/>
      <name val="GOST type B"/>
      <family val="2"/>
    </font>
    <font>
      <b/>
      <i/>
      <sz val="11"/>
      <color rgb="FFFF0000"/>
      <name val="GOST type B"/>
      <family val="2"/>
    </font>
    <font>
      <b/>
      <i/>
      <sz val="16"/>
      <color rgb="FFFF0000"/>
      <name val="GOST type B"/>
      <family val="2"/>
    </font>
    <font>
      <b/>
      <i/>
      <sz val="12"/>
      <color rgb="FFFF0000"/>
      <name val="GOST type B"/>
      <family val="2"/>
    </font>
    <font>
      <i/>
      <sz val="12"/>
      <color rgb="FFFF0000"/>
      <name val="GOST type B"/>
      <family val="2"/>
    </font>
    <font>
      <sz val="16"/>
      <color theme="1"/>
      <name val="Times New Roman"/>
      <family val="1"/>
      <charset val="204"/>
    </font>
    <font>
      <i/>
      <sz val="11"/>
      <color rgb="FFFF0000"/>
      <name val="GOST type B"/>
      <family val="2"/>
    </font>
    <font>
      <sz val="11"/>
      <color rgb="FFFFFF00"/>
      <name val="Calibri"/>
      <family val="2"/>
      <charset val="204"/>
      <scheme val="minor"/>
    </font>
    <font>
      <i/>
      <sz val="11"/>
      <color rgb="FFFFFF00"/>
      <name val="GOST type B"/>
      <family val="2"/>
    </font>
    <font>
      <b/>
      <i/>
      <sz val="9"/>
      <color rgb="FFFF0000"/>
      <name val="GOST type B"/>
      <family val="2"/>
    </font>
    <font>
      <i/>
      <sz val="16"/>
      <color theme="0"/>
      <name val="GOST type B"/>
      <family val="2"/>
    </font>
    <font>
      <sz val="22"/>
      <color rgb="FFFFFF00"/>
      <name val="OrthodoxLoose"/>
      <family val="1"/>
      <charset val="204"/>
    </font>
    <font>
      <sz val="16"/>
      <color rgb="FFFF00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8"/>
      <color rgb="FFFF0000"/>
      <name val="Calibri"/>
      <family val="2"/>
      <charset val="204"/>
      <scheme val="minor"/>
    </font>
    <font>
      <sz val="18"/>
      <color rgb="FFFFFF00"/>
      <name val="OrthodoxLoose"/>
      <family val="1"/>
      <charset val="204"/>
    </font>
    <font>
      <sz val="20"/>
      <color rgb="FFFF0000"/>
      <name val="Calibri"/>
      <family val="2"/>
      <charset val="204"/>
      <scheme val="minor"/>
    </font>
    <font>
      <sz val="14"/>
      <color rgb="FFFFFF00"/>
      <name val="Calibri"/>
      <family val="2"/>
      <charset val="204"/>
      <scheme val="minor"/>
    </font>
    <font>
      <b/>
      <i/>
      <sz val="8"/>
      <color rgb="FFFF0000"/>
      <name val="GOST type B"/>
      <family val="2"/>
    </font>
    <font>
      <b/>
      <i/>
      <sz val="11"/>
      <color theme="1"/>
      <name val="Calibri"/>
      <family val="2"/>
      <charset val="204"/>
      <scheme val="minor"/>
    </font>
    <font>
      <b/>
      <i/>
      <sz val="11"/>
      <color theme="0"/>
      <name val="Calibri"/>
      <family val="2"/>
      <charset val="204"/>
      <scheme val="minor"/>
    </font>
    <font>
      <i/>
      <sz val="9"/>
      <color rgb="FFFF0000"/>
      <name val="GOST type B"/>
      <family val="2"/>
    </font>
    <font>
      <b/>
      <i/>
      <sz val="9"/>
      <color theme="1"/>
      <name val="GOST type B"/>
      <family val="2"/>
    </font>
    <font>
      <b/>
      <i/>
      <sz val="9"/>
      <color rgb="FFFFFF00"/>
      <name val="GOST type B"/>
      <family val="2"/>
    </font>
    <font>
      <b/>
      <sz val="16"/>
      <color rgb="FFFF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4"/>
      <color theme="0"/>
      <name val="Calibri"/>
      <family val="2"/>
      <charset val="204"/>
      <scheme val="minor"/>
    </font>
    <font>
      <b/>
      <sz val="11"/>
      <color theme="0"/>
      <name val="Times New Roman"/>
      <family val="1"/>
      <charset val="204"/>
    </font>
    <font>
      <b/>
      <sz val="16"/>
      <color theme="0"/>
      <name val="Times New Roman"/>
      <family val="1"/>
      <charset val="204"/>
    </font>
    <font>
      <b/>
      <i/>
      <sz val="11"/>
      <color theme="0"/>
      <name val="GOST type B"/>
      <family val="2"/>
    </font>
    <font>
      <i/>
      <sz val="16"/>
      <color rgb="FFFFFF00"/>
      <name val="Calibri"/>
      <family val="2"/>
      <charset val="204"/>
      <scheme val="minor"/>
    </font>
    <font>
      <i/>
      <sz val="14"/>
      <color rgb="FFFFFF00"/>
      <name val="OrthodoxLoose"/>
      <family val="1"/>
      <charset val="204"/>
    </font>
    <font>
      <i/>
      <sz val="9"/>
      <color theme="0"/>
      <name val="GOST type B"/>
      <family val="2"/>
    </font>
    <font>
      <b/>
      <sz val="11"/>
      <color rgb="FF000080"/>
      <name val="Times New Roman"/>
      <family val="1"/>
      <charset val="204"/>
    </font>
    <font>
      <b/>
      <i/>
      <sz val="11"/>
      <color rgb="FFFF0000"/>
      <name val="Calibri"/>
      <family val="2"/>
      <charset val="204"/>
      <scheme val="minor"/>
    </font>
    <font>
      <i/>
      <sz val="11"/>
      <color rgb="FFFF0000"/>
      <name val="GOST Type BU"/>
      <charset val="204"/>
    </font>
    <font>
      <i/>
      <sz val="11"/>
      <color rgb="FFFF0000"/>
      <name val="OrthodoxLoose"/>
      <family val="1"/>
      <charset val="204"/>
    </font>
    <font>
      <b/>
      <i/>
      <sz val="11"/>
      <color rgb="FFFF0000"/>
      <name val="GOST Type BU"/>
      <charset val="204"/>
    </font>
    <font>
      <i/>
      <sz val="22"/>
      <color rgb="FFFFFF00"/>
      <name val="GOST type B"/>
      <family val="2"/>
    </font>
    <font>
      <b/>
      <i/>
      <sz val="18"/>
      <color rgb="FFFF0000"/>
      <name val="GOST type B"/>
      <family val="2"/>
    </font>
    <font>
      <b/>
      <u/>
      <sz val="28"/>
      <color theme="0"/>
      <name val="OrthodoxLoose"/>
      <family val="1"/>
      <charset val="204"/>
    </font>
    <font>
      <i/>
      <sz val="18"/>
      <color rgb="FFFFFF00"/>
      <name val="GOST type B"/>
      <family val="2"/>
    </font>
    <font>
      <b/>
      <i/>
      <sz val="16"/>
      <color rgb="FFFFFF00"/>
      <name val="Calibri"/>
      <family val="2"/>
      <charset val="204"/>
      <scheme val="minor"/>
    </font>
    <font>
      <sz val="6"/>
      <color rgb="FFF4C4D9"/>
      <name val="Times New Roman"/>
      <family val="1"/>
      <charset val="204"/>
    </font>
    <font>
      <b/>
      <sz val="7"/>
      <color rgb="FFF4C4D9"/>
      <name val="Times New Roman"/>
      <family val="1"/>
      <charset val="204"/>
    </font>
    <font>
      <b/>
      <sz val="9"/>
      <color theme="0" tint="-0.34998626667073579"/>
      <name val="GOST Type BU"/>
      <charset val="204"/>
    </font>
    <font>
      <b/>
      <i/>
      <sz val="12"/>
      <color rgb="FFFF0000"/>
      <name val="OrthodoxLoose"/>
      <family val="1"/>
      <charset val="204"/>
    </font>
    <font>
      <i/>
      <sz val="10"/>
      <color rgb="FFFF0000"/>
      <name val="GOST type B"/>
      <family val="2"/>
    </font>
    <font>
      <b/>
      <i/>
      <sz val="20"/>
      <color rgb="FFFF0000"/>
      <name val="GOST type B"/>
      <family val="2"/>
    </font>
    <font>
      <i/>
      <sz val="11"/>
      <color rgb="FFFF0000"/>
      <name val="Times New Roman"/>
      <family val="1"/>
      <charset val="204"/>
    </font>
    <font>
      <i/>
      <sz val="6"/>
      <color rgb="FFFF0000"/>
      <name val="GOST type B"/>
      <family val="2"/>
    </font>
    <font>
      <i/>
      <sz val="14"/>
      <color theme="0"/>
      <name val="GOST type B"/>
      <family val="2"/>
    </font>
    <font>
      <i/>
      <sz val="14"/>
      <color rgb="FFFFFF00"/>
      <name val="GOST type B"/>
      <family val="2"/>
    </font>
    <font>
      <i/>
      <sz val="9"/>
      <color rgb="FFFFFF00"/>
      <name val="GOST type B"/>
      <family val="2"/>
    </font>
    <font>
      <b/>
      <i/>
      <sz val="18"/>
      <color rgb="FFFFFF00"/>
      <name val="GOST type B"/>
      <family val="2"/>
    </font>
    <font>
      <sz val="20"/>
      <color rgb="FFFF0000"/>
      <name val="OrthodoxLoose"/>
      <family val="1"/>
      <charset val="204"/>
    </font>
    <font>
      <b/>
      <sz val="14"/>
      <color rgb="FFFF0000"/>
      <name val="GOST type B"/>
      <family val="2"/>
    </font>
    <font>
      <sz val="18"/>
      <color rgb="FFFFFF00"/>
      <name val="GOST type B"/>
      <family val="2"/>
    </font>
    <font>
      <b/>
      <sz val="12"/>
      <color rgb="FFFFFF00"/>
      <name val="GOST type B"/>
      <family val="2"/>
    </font>
    <font>
      <b/>
      <sz val="12"/>
      <color indexed="13"/>
      <name val="GOST type B"/>
      <family val="2"/>
    </font>
    <font>
      <sz val="10"/>
      <color indexed="8"/>
      <name val="GOST type B"/>
      <family val="2"/>
    </font>
    <font>
      <sz val="14"/>
      <color rgb="FFFF0000"/>
      <name val="GOST type B"/>
      <family val="2"/>
    </font>
    <font>
      <sz val="20"/>
      <color rgb="FFFF0000"/>
      <name val="GOST type B"/>
      <family val="2"/>
    </font>
    <font>
      <b/>
      <sz val="10"/>
      <color theme="0"/>
      <name val="GOST type B"/>
      <family val="2"/>
    </font>
    <font>
      <sz val="11"/>
      <color theme="0"/>
      <name val="GOST type B"/>
      <family val="2"/>
    </font>
    <font>
      <sz val="16"/>
      <color rgb="FFFF0000"/>
      <name val="Arial Cyr"/>
    </font>
  </fonts>
  <fills count="16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indexed="11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3A270"/>
        <bgColor indexed="64"/>
      </patternFill>
    </fill>
  </fills>
  <borders count="1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8"/>
      </top>
      <bottom style="thin">
        <color indexed="8"/>
      </bottom>
      <diagonal/>
    </border>
    <border>
      <left/>
      <right style="thin">
        <color indexed="9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9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9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dotted">
        <color rgb="FFFFFF00"/>
      </right>
      <top/>
      <bottom/>
      <diagonal/>
    </border>
    <border>
      <left style="dotted">
        <color rgb="FFFF0000"/>
      </left>
      <right/>
      <top style="dotted">
        <color rgb="FFFF0000"/>
      </top>
      <bottom/>
      <diagonal/>
    </border>
    <border>
      <left/>
      <right/>
      <top style="dotted">
        <color rgb="FFFF0000"/>
      </top>
      <bottom/>
      <diagonal/>
    </border>
    <border>
      <left/>
      <right style="dotted">
        <color rgb="FFFF0000"/>
      </right>
      <top style="dotted">
        <color rgb="FFFF0000"/>
      </top>
      <bottom/>
      <diagonal/>
    </border>
    <border>
      <left style="dotted">
        <color rgb="FFFF0000"/>
      </left>
      <right/>
      <top/>
      <bottom/>
      <diagonal/>
    </border>
    <border>
      <left/>
      <right style="dotted">
        <color rgb="FFFF0000"/>
      </right>
      <top/>
      <bottom/>
      <diagonal/>
    </border>
    <border>
      <left style="dotted">
        <color rgb="FFFF0000"/>
      </left>
      <right/>
      <top/>
      <bottom style="dotted">
        <color rgb="FFFF0000"/>
      </bottom>
      <diagonal/>
    </border>
    <border>
      <left/>
      <right/>
      <top/>
      <bottom style="dotted">
        <color rgb="FFFF0000"/>
      </bottom>
      <diagonal/>
    </border>
    <border>
      <left/>
      <right style="dotted">
        <color rgb="FFFF0000"/>
      </right>
      <top/>
      <bottom style="dotted">
        <color rgb="FFFF0000"/>
      </bottom>
      <diagonal/>
    </border>
    <border>
      <left/>
      <right style="thick">
        <color rgb="FFFF0000"/>
      </right>
      <top/>
      <bottom/>
      <diagonal/>
    </border>
    <border>
      <left/>
      <right style="dashed">
        <color rgb="FFFFFF00"/>
      </right>
      <top/>
      <bottom/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/>
      <top style="thick">
        <color rgb="FFFFFF00"/>
      </top>
      <bottom/>
      <diagonal/>
    </border>
    <border>
      <left/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/>
      <top/>
      <bottom/>
      <diagonal/>
    </border>
    <border>
      <left/>
      <right style="thick">
        <color rgb="FFFFFF00"/>
      </right>
      <top/>
      <bottom/>
      <diagonal/>
    </border>
    <border>
      <left/>
      <right/>
      <top/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/>
      <right/>
      <top style="medium">
        <color rgb="FFFF0000"/>
      </top>
      <bottom/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 style="thick">
        <color rgb="FFFF0000"/>
      </left>
      <right/>
      <top style="medium">
        <color rgb="FFFF0000"/>
      </top>
      <bottom/>
      <diagonal/>
    </border>
    <border>
      <left/>
      <right style="thick">
        <color rgb="FFFF0000"/>
      </right>
      <top style="medium">
        <color rgb="FFFF0000"/>
      </top>
      <bottom/>
      <diagonal/>
    </border>
    <border>
      <left/>
      <right style="thick">
        <color rgb="FFFF0000"/>
      </right>
      <top/>
      <bottom style="medium">
        <color rgb="FFFF0000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ck">
        <color rgb="FFFF0000"/>
      </bottom>
      <diagonal/>
    </border>
    <border>
      <left/>
      <right/>
      <top style="thick">
        <color rgb="FFFF0000"/>
      </top>
      <bottom/>
      <diagonal/>
    </border>
    <border>
      <left/>
      <right style="dashed">
        <color rgb="FFFF0000"/>
      </right>
      <top/>
      <bottom/>
      <diagonal/>
    </border>
    <border>
      <left/>
      <right/>
      <top/>
      <bottom style="dashed">
        <color rgb="FFFF0000"/>
      </bottom>
      <diagonal/>
    </border>
    <border>
      <left/>
      <right style="dashed">
        <color rgb="FFFF0000"/>
      </right>
      <top/>
      <bottom style="dashed">
        <color rgb="FFFF0000"/>
      </bottom>
      <diagonal/>
    </border>
    <border>
      <left/>
      <right style="dashed">
        <color rgb="FFFF0000"/>
      </right>
      <top style="thick">
        <color rgb="FFFF0000"/>
      </top>
      <bottom/>
      <diagonal/>
    </border>
    <border>
      <left/>
      <right/>
      <top style="dashed">
        <color rgb="FFFF0000"/>
      </top>
      <bottom/>
      <diagonal/>
    </border>
    <border>
      <left/>
      <right style="dashed">
        <color rgb="FFFF0000"/>
      </right>
      <top style="dashed">
        <color rgb="FFFF0000"/>
      </top>
      <bottom/>
      <diagonal/>
    </border>
    <border>
      <left/>
      <right/>
      <top style="thick">
        <color rgb="FFFFFF00"/>
      </top>
      <bottom style="thick">
        <color rgb="FFFFFF00"/>
      </bottom>
      <diagonal/>
    </border>
    <border>
      <left/>
      <right style="thick">
        <color rgb="FFFF0000"/>
      </right>
      <top style="dashed">
        <color rgb="FFFF0000"/>
      </top>
      <bottom/>
      <diagonal/>
    </border>
    <border>
      <left style="dashed">
        <color rgb="FFFF0000"/>
      </left>
      <right/>
      <top style="dashed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 style="dashed">
        <color rgb="FFFF0000"/>
      </bottom>
      <diagonal/>
    </border>
    <border>
      <left/>
      <right style="thick">
        <color rgb="FFFF0000"/>
      </right>
      <top style="dashed">
        <color rgb="FFFF0000"/>
      </top>
      <bottom style="dashed">
        <color rgb="FFFF0000"/>
      </bottom>
      <diagonal/>
    </border>
    <border>
      <left style="dashed">
        <color rgb="FFFF0000"/>
      </left>
      <right/>
      <top style="dashed">
        <color rgb="FFFF0000"/>
      </top>
      <bottom style="dashed">
        <color rgb="FFFF0000"/>
      </bottom>
      <diagonal/>
    </border>
    <border>
      <left/>
      <right style="dashed">
        <color rgb="FFFF0000"/>
      </right>
      <top style="thick">
        <color rgb="FFFF0000"/>
      </top>
      <bottom style="dashed">
        <color rgb="FFFF0000"/>
      </bottom>
      <diagonal/>
    </border>
    <border>
      <left/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/>
      <right/>
      <top style="dashed">
        <color rgb="FFFF0000"/>
      </top>
      <bottom style="dashed">
        <color rgb="FFFF0000"/>
      </bottom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 style="dashed">
        <color rgb="FFFF0000"/>
      </left>
      <right/>
      <top style="thick">
        <color rgb="FFFF0000"/>
      </top>
      <bottom style="dashed">
        <color rgb="FFFF0000"/>
      </bottom>
      <diagonal/>
    </border>
    <border>
      <left style="dashed">
        <color rgb="FFFF0000"/>
      </left>
      <right style="dashed">
        <color rgb="FFFF0000"/>
      </right>
      <top style="thick">
        <color rgb="FFFF0000"/>
      </top>
      <bottom style="dashed">
        <color rgb="FFFF0000"/>
      </bottom>
      <diagonal/>
    </border>
    <border>
      <left/>
      <right/>
      <top style="dashed">
        <color rgb="FFFF0000"/>
      </top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dashed">
        <color rgb="FFFF0000"/>
      </left>
      <right/>
      <top/>
      <bottom style="dashed">
        <color rgb="FFFF0000"/>
      </bottom>
      <diagonal/>
    </border>
    <border>
      <left/>
      <right style="thick">
        <color rgb="FFFF0000"/>
      </right>
      <top/>
      <bottom style="dashed">
        <color rgb="FFFF0000"/>
      </bottom>
      <diagonal/>
    </border>
    <border>
      <left/>
      <right style="thick">
        <color rgb="FFFF0000"/>
      </right>
      <top style="thick">
        <color rgb="FFFF0000"/>
      </top>
      <bottom style="dotted">
        <color rgb="FFFF0000"/>
      </bottom>
      <diagonal/>
    </border>
    <border>
      <left style="dashed">
        <color rgb="FFFF0000"/>
      </left>
      <right/>
      <top style="thick">
        <color rgb="FFFF0000"/>
      </top>
      <bottom style="dotted">
        <color rgb="FFFF0000"/>
      </bottom>
      <diagonal/>
    </border>
    <border>
      <left/>
      <right style="dashed">
        <color rgb="FFFF0000"/>
      </right>
      <top style="thick">
        <color rgb="FFFF0000"/>
      </top>
      <bottom style="dotted">
        <color rgb="FFFF0000"/>
      </bottom>
      <diagonal/>
    </border>
    <border>
      <left style="dotted">
        <color rgb="FFFF0000"/>
      </left>
      <right style="dotted">
        <color rgb="FFFF0000"/>
      </right>
      <top style="dotted">
        <color rgb="FFFF0000"/>
      </top>
      <bottom style="dotted">
        <color rgb="FFFF0000"/>
      </bottom>
      <diagonal/>
    </border>
    <border>
      <left style="dotted">
        <color rgb="FFFFFF00"/>
      </left>
      <right/>
      <top/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thick">
        <color rgb="FFFF0000"/>
      </left>
      <right/>
      <top style="dashed">
        <color rgb="FFFF0000"/>
      </top>
      <bottom/>
      <diagonal/>
    </border>
    <border>
      <left style="thick">
        <color rgb="FFFF0000"/>
      </left>
      <right/>
      <top/>
      <bottom style="dashed">
        <color rgb="FFFF0000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 style="thick">
        <color rgb="FFFFFF00"/>
      </right>
      <top/>
      <bottom style="thick">
        <color rgb="FFFFFF00"/>
      </bottom>
      <diagonal/>
    </border>
    <border>
      <left style="dotted">
        <color rgb="FFFFFF00"/>
      </left>
      <right style="dotted">
        <color rgb="FFFFFF00"/>
      </right>
      <top style="dotted">
        <color rgb="FFFFFF00"/>
      </top>
      <bottom/>
      <diagonal/>
    </border>
    <border>
      <left style="dotted">
        <color rgb="FFFFFF00"/>
      </left>
      <right style="dotted">
        <color rgb="FFFFFF00"/>
      </right>
      <top/>
      <bottom style="dotted">
        <color rgb="FFFFFF00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 style="medium">
        <color rgb="FFFF0000"/>
      </left>
      <right/>
      <top style="thick">
        <color rgb="FFFF0000"/>
      </top>
      <bottom/>
      <diagonal/>
    </border>
    <border>
      <left/>
      <right style="medium">
        <color rgb="FFFF0000"/>
      </right>
      <top style="thick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thick">
        <color rgb="FFFF0000"/>
      </left>
      <right/>
      <top/>
      <bottom style="medium">
        <color rgb="FFFF0000"/>
      </bottom>
      <diagonal/>
    </border>
    <border>
      <left/>
      <right style="dashed">
        <color rgb="FFFF0000"/>
      </right>
      <top/>
      <bottom style="thick">
        <color rgb="FFFF0000"/>
      </bottom>
      <diagonal/>
    </border>
    <border>
      <left style="dashed">
        <color rgb="FFFF0000"/>
      </left>
      <right/>
      <top/>
      <bottom style="thick">
        <color rgb="FFFF0000"/>
      </bottom>
      <diagonal/>
    </border>
    <border>
      <left style="dashed">
        <color rgb="FFFF0000"/>
      </left>
      <right/>
      <top/>
      <bottom/>
      <diagonal/>
    </border>
    <border>
      <left/>
      <right style="thick">
        <color rgb="FFFF0000"/>
      </right>
      <top style="thick">
        <color rgb="FFFFFF00"/>
      </top>
      <bottom/>
      <diagonal/>
    </border>
    <border>
      <left style="dashed">
        <color rgb="FFFF0000"/>
      </left>
      <right/>
      <top style="thick">
        <color rgb="FFFFFF00"/>
      </top>
      <bottom/>
      <diagonal/>
    </border>
    <border>
      <left style="dashed">
        <color rgb="FFFF0000"/>
      </left>
      <right/>
      <top style="thick">
        <color rgb="FFFF0000"/>
      </top>
      <bottom/>
      <diagonal/>
    </border>
    <border>
      <left style="thick">
        <color rgb="FFFF0000"/>
      </left>
      <right/>
      <top style="dashed">
        <color rgb="FFFF0000"/>
      </top>
      <bottom style="dashed">
        <color rgb="FFFF0000"/>
      </bottom>
      <diagonal/>
    </border>
    <border>
      <left style="thick">
        <color rgb="FFFF0000"/>
      </left>
      <right/>
      <top style="thick">
        <color rgb="FFFF0000"/>
      </top>
      <bottom style="dashed">
        <color rgb="FFFF0000"/>
      </bottom>
      <diagonal/>
    </border>
    <border>
      <left/>
      <right/>
      <top style="thick">
        <color rgb="FFFF0000"/>
      </top>
      <bottom style="dashed">
        <color rgb="FFFF0000"/>
      </bottom>
      <diagonal/>
    </border>
    <border>
      <left style="thick">
        <color rgb="FFFF0000"/>
      </left>
      <right/>
      <top style="thick">
        <color rgb="FFFF0000"/>
      </top>
      <bottom style="dotted">
        <color rgb="FFFF0000"/>
      </bottom>
      <diagonal/>
    </border>
    <border>
      <left/>
      <right/>
      <top style="thick">
        <color rgb="FFFF0000"/>
      </top>
      <bottom style="dotted">
        <color rgb="FFFF0000"/>
      </bottom>
      <diagonal/>
    </border>
    <border>
      <left style="thick">
        <color rgb="FFFF0000"/>
      </left>
      <right style="thin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rgb="FFFF0000"/>
      </left>
      <right style="thin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FF00"/>
      </top>
      <bottom/>
      <diagonal/>
    </border>
    <border>
      <left/>
      <right/>
      <top style="dotted">
        <color rgb="FFFFFF00"/>
      </top>
      <bottom/>
      <diagonal/>
    </border>
    <border>
      <left/>
      <right style="dotted">
        <color rgb="FFFFFF00"/>
      </right>
      <top style="dotted">
        <color rgb="FFFFFF00"/>
      </top>
      <bottom/>
      <diagonal/>
    </border>
    <border>
      <left/>
      <right style="dotted">
        <color rgb="FFFFFF00"/>
      </right>
      <top/>
      <bottom style="dotted">
        <color rgb="FFFF0000"/>
      </bottom>
      <diagonal/>
    </border>
    <border>
      <left/>
      <right style="double">
        <color rgb="FFFF0000"/>
      </right>
      <top/>
      <bottom/>
      <diagonal/>
    </border>
    <border>
      <left style="dotted">
        <color rgb="FFFFFF00"/>
      </left>
      <right/>
      <top style="dotted">
        <color rgb="FFFFFF00"/>
      </top>
      <bottom/>
      <diagonal/>
    </border>
    <border>
      <left style="dotted">
        <color rgb="FFFFFF00"/>
      </left>
      <right/>
      <top/>
      <bottom style="dotted">
        <color rgb="FFFF0000"/>
      </bottom>
      <diagonal/>
    </border>
    <border>
      <left/>
      <right/>
      <top/>
      <bottom style="dotted">
        <color rgb="FFFFFF00"/>
      </bottom>
      <diagonal/>
    </border>
  </borders>
  <cellStyleXfs count="6">
    <xf numFmtId="0" fontId="0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/>
    <xf numFmtId="0" fontId="5" fillId="0" borderId="0" applyFill="0" applyProtection="0"/>
    <xf numFmtId="9" fontId="20" fillId="0" borderId="0" applyFont="0" applyFill="0" applyBorder="0" applyAlignment="0" applyProtection="0"/>
  </cellStyleXfs>
  <cellXfs count="988">
    <xf numFmtId="0" fontId="0" fillId="0" borderId="0" xfId="0"/>
    <xf numFmtId="0" fontId="24" fillId="0" borderId="0" xfId="3"/>
    <xf numFmtId="0" fontId="26" fillId="0" borderId="0" xfId="3" applyFont="1" applyAlignment="1">
      <alignment horizontal="right" vertical="center" wrapText="1"/>
    </xf>
    <xf numFmtId="0" fontId="26" fillId="5" borderId="0" xfId="3" applyFont="1" applyFill="1" applyAlignment="1">
      <alignment horizontal="right" vertical="center" wrapText="1"/>
    </xf>
    <xf numFmtId="0" fontId="26" fillId="0" borderId="0" xfId="3" applyFont="1" applyAlignment="1">
      <alignment horizontal="left" vertical="center" wrapText="1"/>
    </xf>
    <xf numFmtId="0" fontId="27" fillId="0" borderId="0" xfId="3" applyFont="1" applyAlignment="1">
      <alignment horizontal="left" vertical="center" wrapText="1"/>
    </xf>
    <xf numFmtId="0" fontId="26" fillId="5" borderId="0" xfId="3" applyFont="1" applyFill="1" applyAlignment="1">
      <alignment vertical="center" wrapText="1"/>
    </xf>
    <xf numFmtId="0" fontId="27" fillId="6" borderId="1" xfId="3" applyFont="1" applyFill="1" applyBorder="1" applyAlignment="1">
      <alignment horizontal="right" vertical="center" wrapText="1"/>
    </xf>
    <xf numFmtId="0" fontId="27" fillId="0" borderId="1" xfId="3" applyFont="1" applyBorder="1" applyAlignment="1">
      <alignment horizontal="right" vertical="center" wrapText="1"/>
    </xf>
    <xf numFmtId="0" fontId="26" fillId="5" borderId="1" xfId="3" applyFont="1" applyFill="1" applyBorder="1" applyAlignment="1">
      <alignment horizontal="right" vertical="center" wrapText="1"/>
    </xf>
    <xf numFmtId="164" fontId="27" fillId="6" borderId="1" xfId="3" applyNumberFormat="1" applyFont="1" applyFill="1" applyBorder="1" applyAlignment="1">
      <alignment horizontal="right" vertical="center" wrapText="1"/>
    </xf>
    <xf numFmtId="164" fontId="27" fillId="0" borderId="1" xfId="3" applyNumberFormat="1" applyFont="1" applyBorder="1" applyAlignment="1">
      <alignment horizontal="right" vertical="center" wrapText="1"/>
    </xf>
    <xf numFmtId="0" fontId="26" fillId="0" borderId="1" xfId="3" applyFont="1" applyBorder="1" applyAlignment="1">
      <alignment horizontal="right" vertical="center" wrapText="1"/>
    </xf>
    <xf numFmtId="0" fontId="27" fillId="0" borderId="1" xfId="3" applyFont="1" applyBorder="1" applyAlignment="1">
      <alignment horizontal="left" vertical="center" wrapText="1"/>
    </xf>
    <xf numFmtId="0" fontId="26" fillId="0" borderId="1" xfId="3" applyFont="1" applyBorder="1" applyAlignment="1">
      <alignment horizontal="left" vertical="center" wrapText="1"/>
    </xf>
    <xf numFmtId="0" fontId="26" fillId="7" borderId="1" xfId="3" applyFont="1" applyFill="1" applyBorder="1" applyAlignment="1">
      <alignment horizontal="right" vertical="center" wrapText="1"/>
    </xf>
    <xf numFmtId="0" fontId="26" fillId="8" borderId="1" xfId="3" applyFont="1" applyFill="1" applyBorder="1" applyAlignment="1">
      <alignment horizontal="right" vertical="center" wrapText="1"/>
    </xf>
    <xf numFmtId="0" fontId="27" fillId="0" borderId="1" xfId="3" applyFont="1" applyBorder="1" applyAlignment="1">
      <alignment vertical="center" wrapText="1"/>
    </xf>
    <xf numFmtId="0" fontId="27" fillId="5" borderId="1" xfId="3" applyFont="1" applyFill="1" applyBorder="1" applyAlignment="1">
      <alignment horizontal="left" vertical="center" wrapText="1"/>
    </xf>
    <xf numFmtId="0" fontId="26" fillId="5" borderId="1" xfId="3" applyFont="1" applyFill="1" applyBorder="1" applyAlignment="1">
      <alignment horizontal="left" vertical="center" wrapText="1"/>
    </xf>
    <xf numFmtId="0" fontId="26" fillId="5" borderId="1" xfId="3" applyFont="1" applyFill="1" applyBorder="1" applyAlignment="1">
      <alignment vertical="center" wrapText="1"/>
    </xf>
    <xf numFmtId="0" fontId="27" fillId="5" borderId="1" xfId="3" applyFont="1" applyFill="1" applyBorder="1" applyAlignment="1">
      <alignment horizontal="right" vertical="center" wrapText="1"/>
    </xf>
    <xf numFmtId="0" fontId="27" fillId="7" borderId="1" xfId="3" applyFont="1" applyFill="1" applyBorder="1" applyAlignment="1">
      <alignment horizontal="left" vertical="center" wrapText="1"/>
    </xf>
    <xf numFmtId="0" fontId="27" fillId="7" borderId="1" xfId="3" applyFont="1" applyFill="1" applyBorder="1" applyAlignment="1">
      <alignment horizontal="right" vertical="center" wrapText="1"/>
    </xf>
    <xf numFmtId="0" fontId="26" fillId="7" borderId="1" xfId="3" applyFont="1" applyFill="1" applyBorder="1" applyAlignment="1">
      <alignment horizontal="left" vertical="center" wrapText="1"/>
    </xf>
    <xf numFmtId="0" fontId="28" fillId="0" borderId="0" xfId="3" applyFont="1" applyAlignment="1">
      <alignment horizontal="center" vertical="center"/>
    </xf>
    <xf numFmtId="0" fontId="29" fillId="0" borderId="0" xfId="3" applyFont="1" applyAlignment="1">
      <alignment horizontal="center" vertical="center"/>
    </xf>
    <xf numFmtId="0" fontId="28" fillId="0" borderId="0" xfId="3" applyFont="1" applyAlignment="1" applyProtection="1">
      <alignment horizontal="center" vertical="center"/>
      <protection locked="0" hidden="1"/>
    </xf>
    <xf numFmtId="0" fontId="28" fillId="0" borderId="0" xfId="3" applyFont="1" applyAlignment="1" applyProtection="1">
      <alignment horizontal="center" vertical="center"/>
    </xf>
    <xf numFmtId="0" fontId="29" fillId="0" borderId="0" xfId="3" applyFont="1" applyAlignment="1" applyProtection="1">
      <alignment horizontal="center" vertical="center"/>
    </xf>
    <xf numFmtId="0" fontId="28" fillId="0" borderId="0" xfId="3" applyFont="1" applyAlignment="1" applyProtection="1">
      <alignment horizontal="center" vertical="center"/>
      <protection locked="0"/>
    </xf>
    <xf numFmtId="0" fontId="28" fillId="0" borderId="0" xfId="3" applyFont="1" applyAlignment="1" applyProtection="1">
      <alignment horizontal="center" vertical="center"/>
      <protection hidden="1"/>
    </xf>
    <xf numFmtId="0" fontId="30" fillId="0" borderId="0" xfId="3" applyFont="1" applyFill="1" applyBorder="1" applyAlignment="1" applyProtection="1">
      <alignment horizontal="center" vertical="center"/>
    </xf>
    <xf numFmtId="0" fontId="31" fillId="0" borderId="0" xfId="3" applyFont="1" applyFill="1" applyBorder="1" applyAlignment="1" applyProtection="1">
      <alignment horizontal="center" vertical="center"/>
    </xf>
    <xf numFmtId="0" fontId="32" fillId="0" borderId="0" xfId="3" applyFont="1" applyFill="1" applyBorder="1" applyAlignment="1" applyProtection="1">
      <alignment vertical="center" textRotation="90" wrapText="1"/>
    </xf>
    <xf numFmtId="0" fontId="33" fillId="0" borderId="0" xfId="3" applyFont="1" applyFill="1" applyBorder="1" applyAlignment="1" applyProtection="1">
      <alignment horizontal="center" vertical="center"/>
    </xf>
    <xf numFmtId="0" fontId="34" fillId="0" borderId="0" xfId="3" applyFont="1" applyFill="1" applyBorder="1" applyAlignment="1" applyProtection="1">
      <alignment horizontal="center" vertical="center"/>
    </xf>
    <xf numFmtId="0" fontId="35" fillId="0" borderId="0" xfId="3" applyFont="1" applyFill="1" applyBorder="1" applyAlignment="1" applyProtection="1">
      <alignment horizontal="center" vertical="center"/>
    </xf>
    <xf numFmtId="0" fontId="31" fillId="0" borderId="0" xfId="3" applyFont="1" applyFill="1" applyBorder="1" applyAlignment="1" applyProtection="1">
      <alignment horizontal="center" vertical="center" textRotation="90" wrapText="1"/>
    </xf>
    <xf numFmtId="0" fontId="33" fillId="0" borderId="0" xfId="3" applyFont="1" applyFill="1" applyBorder="1" applyAlignment="1" applyProtection="1">
      <alignment horizontal="center" vertical="center" textRotation="90" wrapText="1"/>
    </xf>
    <xf numFmtId="0" fontId="34" fillId="0" borderId="0" xfId="3" applyFont="1" applyFill="1" applyBorder="1" applyAlignment="1" applyProtection="1">
      <alignment horizontal="left" vertical="center"/>
    </xf>
    <xf numFmtId="0" fontId="34" fillId="0" borderId="0" xfId="3" applyFont="1" applyFill="1" applyBorder="1" applyAlignment="1" applyProtection="1">
      <alignment horizontal="left" vertical="center" wrapText="1"/>
    </xf>
    <xf numFmtId="0" fontId="28" fillId="0" borderId="0" xfId="3" applyFont="1" applyFill="1" applyBorder="1" applyAlignment="1" applyProtection="1">
      <alignment horizontal="center" vertical="center" textRotation="90"/>
    </xf>
    <xf numFmtId="0" fontId="36" fillId="0" borderId="0" xfId="3" applyFont="1" applyFill="1" applyBorder="1" applyAlignment="1" applyProtection="1">
      <alignment horizontal="center" vertical="center" textRotation="90"/>
    </xf>
    <xf numFmtId="0" fontId="37" fillId="9" borderId="0" xfId="3" applyFont="1" applyFill="1" applyBorder="1" applyAlignment="1" applyProtection="1">
      <alignment vertical="center" textRotation="90" wrapText="1"/>
    </xf>
    <xf numFmtId="0" fontId="37" fillId="9" borderId="2" xfId="3" applyFont="1" applyFill="1" applyBorder="1" applyAlignment="1" applyProtection="1">
      <alignment vertical="center" textRotation="90" wrapText="1"/>
    </xf>
    <xf numFmtId="0" fontId="28" fillId="0" borderId="2" xfId="3" applyFont="1" applyBorder="1" applyAlignment="1" applyProtection="1">
      <alignment horizontal="center" vertical="center"/>
    </xf>
    <xf numFmtId="0" fontId="28" fillId="0" borderId="1" xfId="3" applyFont="1" applyBorder="1" applyAlignment="1" applyProtection="1">
      <alignment horizontal="center" vertical="center"/>
      <protection locked="0"/>
    </xf>
    <xf numFmtId="0" fontId="37" fillId="9" borderId="3" xfId="3" applyFont="1" applyFill="1" applyBorder="1" applyAlignment="1" applyProtection="1">
      <alignment vertical="center" textRotation="90" wrapText="1"/>
    </xf>
    <xf numFmtId="0" fontId="37" fillId="9" borderId="4" xfId="3" applyFont="1" applyFill="1" applyBorder="1" applyAlignment="1" applyProtection="1">
      <alignment vertical="center" textRotation="90" wrapText="1"/>
    </xf>
    <xf numFmtId="0" fontId="37" fillId="9" borderId="5" xfId="3" applyFont="1" applyFill="1" applyBorder="1" applyAlignment="1" applyProtection="1">
      <alignment vertical="center" textRotation="90" wrapText="1"/>
    </xf>
    <xf numFmtId="0" fontId="28" fillId="0" borderId="0" xfId="3" applyFont="1" applyBorder="1" applyAlignment="1" applyProtection="1">
      <alignment horizontal="center" vertical="center"/>
    </xf>
    <xf numFmtId="0" fontId="28" fillId="0" borderId="6" xfId="3" applyFont="1" applyBorder="1" applyAlignment="1" applyProtection="1">
      <alignment horizontal="center" vertical="center"/>
      <protection locked="0"/>
    </xf>
    <xf numFmtId="0" fontId="29" fillId="0" borderId="0" xfId="3" applyFont="1" applyBorder="1" applyAlignment="1" applyProtection="1">
      <alignment horizontal="center" vertical="center"/>
    </xf>
    <xf numFmtId="0" fontId="38" fillId="0" borderId="0" xfId="3" applyFont="1" applyFill="1" applyBorder="1" applyAlignment="1" applyProtection="1">
      <alignment vertical="center"/>
    </xf>
    <xf numFmtId="0" fontId="39" fillId="0" borderId="0" xfId="3" applyFont="1" applyFill="1" applyBorder="1" applyAlignment="1" applyProtection="1">
      <alignment vertical="center" wrapText="1"/>
    </xf>
    <xf numFmtId="0" fontId="28" fillId="0" borderId="0" xfId="3" applyFont="1" applyFill="1" applyBorder="1" applyAlignment="1" applyProtection="1">
      <alignment horizontal="center" vertical="center"/>
    </xf>
    <xf numFmtId="0" fontId="28" fillId="0" borderId="0" xfId="3" applyFont="1" applyAlignment="1" applyProtection="1">
      <alignment horizontal="center" vertical="center"/>
    </xf>
    <xf numFmtId="0" fontId="28" fillId="0" borderId="0" xfId="3" applyFont="1" applyFill="1" applyAlignment="1" applyProtection="1">
      <alignment horizontal="center" vertical="center"/>
    </xf>
    <xf numFmtId="0" fontId="28" fillId="0" borderId="0" xfId="3" applyFont="1" applyBorder="1" applyAlignment="1" applyProtection="1">
      <alignment horizontal="center" vertical="center"/>
      <protection hidden="1"/>
    </xf>
    <xf numFmtId="0" fontId="40" fillId="0" borderId="0" xfId="3" applyFont="1" applyFill="1" applyBorder="1" applyAlignment="1" applyProtection="1">
      <alignment vertical="center" textRotation="90" wrapText="1"/>
    </xf>
    <xf numFmtId="0" fontId="28" fillId="0" borderId="0" xfId="3" applyFont="1" applyFill="1" applyBorder="1" applyAlignment="1" applyProtection="1">
      <alignment vertical="center"/>
    </xf>
    <xf numFmtId="0" fontId="29" fillId="0" borderId="0" xfId="3" applyFont="1" applyFill="1" applyBorder="1" applyAlignment="1" applyProtection="1">
      <alignment vertical="center"/>
    </xf>
    <xf numFmtId="0" fontId="28" fillId="0" borderId="0" xfId="3" applyFont="1" applyFill="1" applyBorder="1" applyAlignment="1" applyProtection="1">
      <alignment horizontal="center" vertical="center"/>
    </xf>
    <xf numFmtId="0" fontId="29" fillId="10" borderId="0" xfId="3" applyFont="1" applyFill="1" applyBorder="1" applyAlignment="1" applyProtection="1">
      <alignment horizontal="center" vertical="center"/>
    </xf>
    <xf numFmtId="0" fontId="28" fillId="10" borderId="0" xfId="3" applyFont="1" applyFill="1" applyBorder="1" applyAlignment="1" applyProtection="1">
      <alignment horizontal="center" vertical="center"/>
    </xf>
    <xf numFmtId="0" fontId="41" fillId="0" borderId="0" xfId="1" applyFont="1" applyFill="1" applyBorder="1" applyAlignment="1" applyProtection="1">
      <alignment vertical="center" wrapText="1"/>
    </xf>
    <xf numFmtId="0" fontId="29" fillId="0" borderId="0" xfId="3" applyFont="1" applyBorder="1" applyAlignment="1">
      <alignment horizontal="center" vertical="center"/>
    </xf>
    <xf numFmtId="0" fontId="24" fillId="0" borderId="0" xfId="3" applyAlignment="1">
      <alignment horizontal="left"/>
    </xf>
    <xf numFmtId="0" fontId="24" fillId="0" borderId="0" xfId="3" applyAlignment="1">
      <alignment horizontal="left" vertical="center"/>
    </xf>
    <xf numFmtId="0" fontId="42" fillId="0" borderId="0" xfId="3" applyFont="1" applyBorder="1" applyAlignment="1">
      <alignment horizontal="justify" vertical="top" wrapText="1"/>
    </xf>
    <xf numFmtId="0" fontId="43" fillId="0" borderId="0" xfId="3" applyFont="1" applyBorder="1" applyAlignment="1">
      <alignment horizontal="center" vertical="top" wrapText="1"/>
    </xf>
    <xf numFmtId="0" fontId="44" fillId="0" borderId="0" xfId="3" applyFont="1" applyBorder="1" applyAlignment="1">
      <alignment horizontal="center" vertical="top" wrapText="1"/>
    </xf>
    <xf numFmtId="0" fontId="44" fillId="0" borderId="7" xfId="3" applyFont="1" applyBorder="1" applyAlignment="1">
      <alignment horizontal="center" vertical="top" wrapText="1"/>
    </xf>
    <xf numFmtId="0" fontId="43" fillId="0" borderId="0" xfId="3" applyFont="1" applyAlignment="1">
      <alignment horizontal="center" vertical="top" wrapText="1"/>
    </xf>
    <xf numFmtId="0" fontId="44" fillId="0" borderId="0" xfId="3" applyFont="1" applyAlignment="1">
      <alignment horizontal="center" vertical="top" wrapText="1"/>
    </xf>
    <xf numFmtId="0" fontId="44" fillId="0" borderId="8" xfId="3" applyFont="1" applyBorder="1" applyAlignment="1">
      <alignment horizontal="center" vertical="top" wrapText="1"/>
    </xf>
    <xf numFmtId="0" fontId="44" fillId="0" borderId="9" xfId="3" applyFont="1" applyBorder="1" applyAlignment="1">
      <alignment horizontal="center" wrapText="1"/>
    </xf>
    <xf numFmtId="0" fontId="44" fillId="0" borderId="10" xfId="3" applyFont="1" applyBorder="1" applyAlignment="1">
      <alignment horizontal="center" wrapText="1"/>
    </xf>
    <xf numFmtId="0" fontId="44" fillId="0" borderId="11" xfId="3" applyFont="1" applyBorder="1" applyAlignment="1">
      <alignment horizontal="center" wrapText="1"/>
    </xf>
    <xf numFmtId="0" fontId="44" fillId="0" borderId="0" xfId="3" applyFont="1" applyAlignment="1">
      <alignment horizontal="justify"/>
    </xf>
    <xf numFmtId="0" fontId="44" fillId="0" borderId="0" xfId="3" applyFont="1" applyAlignment="1">
      <alignment horizontal="right"/>
    </xf>
    <xf numFmtId="0" fontId="29" fillId="11" borderId="12" xfId="3" applyFont="1" applyFill="1" applyBorder="1" applyAlignment="1">
      <alignment horizontal="center" vertical="center"/>
    </xf>
    <xf numFmtId="0" fontId="24" fillId="0" borderId="13" xfId="3" applyBorder="1" applyAlignment="1">
      <alignment horizontal="left"/>
    </xf>
    <xf numFmtId="0" fontId="24" fillId="0" borderId="14" xfId="3" applyBorder="1" applyAlignment="1">
      <alignment horizontal="left"/>
    </xf>
    <xf numFmtId="0" fontId="24" fillId="0" borderId="15" xfId="3" applyBorder="1" applyAlignment="1">
      <alignment horizontal="left"/>
    </xf>
    <xf numFmtId="0" fontId="24" fillId="0" borderId="16" xfId="3" applyBorder="1" applyAlignment="1">
      <alignment horizontal="left"/>
    </xf>
    <xf numFmtId="0" fontId="24" fillId="0" borderId="0" xfId="3" applyBorder="1" applyAlignment="1">
      <alignment horizontal="left"/>
    </xf>
    <xf numFmtId="0" fontId="24" fillId="0" borderId="8" xfId="3" applyBorder="1" applyAlignment="1">
      <alignment horizontal="left"/>
    </xf>
    <xf numFmtId="0" fontId="24" fillId="0" borderId="17" xfId="3" applyBorder="1" applyAlignment="1">
      <alignment horizontal="left"/>
    </xf>
    <xf numFmtId="0" fontId="24" fillId="0" borderId="18" xfId="3" applyBorder="1" applyAlignment="1">
      <alignment horizontal="left"/>
    </xf>
    <xf numFmtId="0" fontId="24" fillId="0" borderId="19" xfId="3" applyBorder="1" applyAlignment="1">
      <alignment horizontal="left"/>
    </xf>
    <xf numFmtId="0" fontId="44" fillId="0" borderId="16" xfId="3" applyFont="1" applyBorder="1" applyAlignment="1">
      <alignment horizontal="center" vertical="top" wrapText="1"/>
    </xf>
    <xf numFmtId="0" fontId="44" fillId="0" borderId="7" xfId="3" applyFont="1" applyBorder="1" applyAlignment="1">
      <alignment horizontal="justify" vertical="top" wrapText="1"/>
    </xf>
    <xf numFmtId="0" fontId="44" fillId="0" borderId="13" xfId="3" applyFont="1" applyBorder="1" applyAlignment="1">
      <alignment horizontal="center" vertical="top" wrapText="1"/>
    </xf>
    <xf numFmtId="0" fontId="44" fillId="0" borderId="17" xfId="3" applyFont="1" applyBorder="1" applyAlignment="1">
      <alignment horizontal="center" vertical="top" wrapText="1"/>
    </xf>
    <xf numFmtId="0" fontId="24" fillId="0" borderId="0" xfId="3" applyBorder="1" applyAlignment="1">
      <alignment vertical="top" wrapText="1"/>
    </xf>
    <xf numFmtId="0" fontId="44" fillId="0" borderId="20" xfId="3" applyFont="1" applyBorder="1" applyAlignment="1">
      <alignment horizontal="center" vertical="top" wrapText="1"/>
    </xf>
    <xf numFmtId="0" fontId="29" fillId="0" borderId="0" xfId="3" applyFont="1" applyAlignment="1">
      <alignment horizontal="left"/>
    </xf>
    <xf numFmtId="0" fontId="45" fillId="0" borderId="0" xfId="3" applyFont="1" applyAlignment="1">
      <alignment horizontal="left" vertical="top" wrapText="1"/>
    </xf>
    <xf numFmtId="0" fontId="45" fillId="0" borderId="0" xfId="3" applyFont="1" applyAlignment="1">
      <alignment horizontal="left"/>
    </xf>
    <xf numFmtId="0" fontId="46" fillId="0" borderId="0" xfId="3" applyFont="1" applyAlignment="1" applyProtection="1">
      <alignment horizontal="center" vertical="center"/>
    </xf>
    <xf numFmtId="1" fontId="46" fillId="0" borderId="0" xfId="3" applyNumberFormat="1" applyFont="1" applyAlignment="1" applyProtection="1">
      <alignment horizontal="center" vertical="center"/>
    </xf>
    <xf numFmtId="2" fontId="46" fillId="0" borderId="0" xfId="3" applyNumberFormat="1" applyFont="1" applyAlignment="1" applyProtection="1">
      <alignment horizontal="center" vertical="center"/>
    </xf>
    <xf numFmtId="4" fontId="47" fillId="0" borderId="0" xfId="3" applyNumberFormat="1" applyFont="1" applyFill="1" applyBorder="1" applyAlignment="1" applyProtection="1"/>
    <xf numFmtId="0" fontId="48" fillId="0" borderId="0" xfId="3" applyFont="1" applyFill="1" applyBorder="1" applyAlignment="1" applyProtection="1">
      <alignment vertical="center"/>
    </xf>
    <xf numFmtId="0" fontId="49" fillId="0" borderId="0" xfId="3" applyFont="1" applyFill="1" applyBorder="1" applyAlignment="1" applyProtection="1">
      <alignment vertical="center" wrapText="1"/>
    </xf>
    <xf numFmtId="0" fontId="50" fillId="0" borderId="0" xfId="3" applyFont="1" applyFill="1" applyBorder="1" applyAlignment="1" applyProtection="1">
      <alignment vertical="center"/>
    </xf>
    <xf numFmtId="1" fontId="51" fillId="0" borderId="0" xfId="3" applyNumberFormat="1" applyFont="1" applyFill="1" applyBorder="1" applyAlignment="1" applyProtection="1">
      <alignment vertical="center"/>
    </xf>
    <xf numFmtId="2" fontId="48" fillId="0" borderId="0" xfId="3" applyNumberFormat="1" applyFont="1" applyFill="1" applyBorder="1" applyAlignment="1" applyProtection="1">
      <alignment vertical="center"/>
    </xf>
    <xf numFmtId="0" fontId="52" fillId="0" borderId="0" xfId="3" applyFont="1" applyFill="1" applyBorder="1" applyAlignment="1" applyProtection="1">
      <alignment vertical="center"/>
    </xf>
    <xf numFmtId="0" fontId="24" fillId="0" borderId="0" xfId="3" applyAlignment="1" applyProtection="1"/>
    <xf numFmtId="0" fontId="22" fillId="0" borderId="0" xfId="1" applyAlignment="1" applyProtection="1">
      <alignment vertical="center" wrapText="1"/>
    </xf>
    <xf numFmtId="0" fontId="21" fillId="0" borderId="0" xfId="0" applyFont="1"/>
    <xf numFmtId="2" fontId="21" fillId="0" borderId="0" xfId="0" applyNumberFormat="1" applyFont="1"/>
    <xf numFmtId="1" fontId="21" fillId="0" borderId="0" xfId="0" applyNumberFormat="1" applyFont="1"/>
    <xf numFmtId="0" fontId="0" fillId="0" borderId="0" xfId="0" applyBorder="1"/>
    <xf numFmtId="0" fontId="0" fillId="12" borderId="0" xfId="0" applyFill="1" applyBorder="1"/>
    <xf numFmtId="0" fontId="0" fillId="12" borderId="0" xfId="0" applyFill="1"/>
    <xf numFmtId="0" fontId="24" fillId="12" borderId="0" xfId="3" applyFill="1" applyAlignment="1"/>
    <xf numFmtId="0" fontId="0" fillId="12" borderId="0" xfId="0" applyFill="1" applyProtection="1"/>
    <xf numFmtId="0" fontId="0" fillId="12" borderId="0" xfId="0" applyFill="1" applyBorder="1" applyProtection="1"/>
    <xf numFmtId="0" fontId="29" fillId="12" borderId="0" xfId="3" applyFont="1" applyFill="1" applyBorder="1" applyAlignment="1" applyProtection="1">
      <alignment vertical="center"/>
    </xf>
    <xf numFmtId="0" fontId="53" fillId="0" borderId="0" xfId="3" applyFont="1" applyFill="1" applyBorder="1" applyAlignment="1" applyProtection="1">
      <alignment vertical="center" wrapText="1"/>
    </xf>
    <xf numFmtId="0" fontId="28" fillId="0" borderId="0" xfId="3" applyFont="1" applyBorder="1" applyAlignment="1">
      <alignment horizontal="center" vertical="center"/>
    </xf>
    <xf numFmtId="0" fontId="25" fillId="0" borderId="0" xfId="0" applyFont="1"/>
    <xf numFmtId="0" fontId="5" fillId="0" borderId="0" xfId="4" applyFill="1" applyProtection="1"/>
    <xf numFmtId="0" fontId="54" fillId="0" borderId="0" xfId="4" applyFont="1" applyFill="1" applyProtection="1"/>
    <xf numFmtId="0" fontId="5" fillId="0" borderId="0" xfId="4" applyFill="1" applyBorder="1" applyProtection="1"/>
    <xf numFmtId="0" fontId="54" fillId="0" borderId="0" xfId="4" applyFont="1" applyFill="1" applyBorder="1" applyProtection="1"/>
    <xf numFmtId="0" fontId="54" fillId="0" borderId="0" xfId="4" applyFont="1" applyFill="1" applyProtection="1">
      <protection locked="0"/>
    </xf>
    <xf numFmtId="0" fontId="5" fillId="0" borderId="43" xfId="4" applyFill="1" applyBorder="1" applyProtection="1"/>
    <xf numFmtId="0" fontId="5" fillId="0" borderId="45" xfId="4" applyFill="1" applyBorder="1" applyProtection="1"/>
    <xf numFmtId="0" fontId="5" fillId="0" borderId="46" xfId="4" applyFill="1" applyBorder="1" applyProtection="1"/>
    <xf numFmtId="0" fontId="5" fillId="0" borderId="48" xfId="4" applyFill="1" applyBorder="1" applyProtection="1"/>
    <xf numFmtId="0" fontId="5" fillId="0" borderId="47" xfId="4" applyFill="1" applyBorder="1" applyProtection="1"/>
    <xf numFmtId="0" fontId="5" fillId="0" borderId="49" xfId="4" applyFill="1" applyBorder="1" applyProtection="1"/>
    <xf numFmtId="0" fontId="5" fillId="0" borderId="50" xfId="4" applyFill="1" applyBorder="1" applyProtection="1"/>
    <xf numFmtId="0" fontId="5" fillId="0" borderId="51" xfId="4" applyFill="1" applyBorder="1" applyProtection="1"/>
    <xf numFmtId="0" fontId="54" fillId="0" borderId="0" xfId="4" applyFont="1" applyFill="1" applyBorder="1" applyAlignment="1" applyProtection="1"/>
    <xf numFmtId="0" fontId="5" fillId="0" borderId="0" xfId="4"/>
    <xf numFmtId="0" fontId="25" fillId="7" borderId="1" xfId="4" applyFont="1" applyFill="1" applyBorder="1" applyAlignment="1">
      <alignment horizontal="center"/>
    </xf>
    <xf numFmtId="0" fontId="5" fillId="0" borderId="1" xfId="4" applyBorder="1" applyAlignment="1"/>
    <xf numFmtId="0" fontId="25" fillId="7" borderId="21" xfId="4" applyFont="1" applyFill="1" applyBorder="1" applyAlignment="1">
      <alignment horizontal="center"/>
    </xf>
    <xf numFmtId="2" fontId="5" fillId="13" borderId="1" xfId="4" applyNumberFormat="1" applyFill="1" applyBorder="1" applyAlignment="1"/>
    <xf numFmtId="2" fontId="5" fillId="0" borderId="1" xfId="4" applyNumberFormat="1" applyFill="1" applyBorder="1" applyAlignment="1"/>
    <xf numFmtId="2" fontId="25" fillId="7" borderId="1" xfId="4" applyNumberFormat="1" applyFont="1" applyFill="1" applyBorder="1" applyAlignment="1">
      <alignment horizontal="center"/>
    </xf>
    <xf numFmtId="0" fontId="6" fillId="0" borderId="22" xfId="4" applyFont="1" applyFill="1" applyBorder="1" applyAlignment="1" applyProtection="1">
      <alignment horizontal="center" vertical="center" wrapText="1"/>
    </xf>
    <xf numFmtId="166" fontId="6" fillId="0" borderId="22" xfId="4" applyNumberFormat="1" applyFont="1" applyFill="1" applyBorder="1" applyAlignment="1" applyProtection="1">
      <alignment horizontal="center" vertical="center" wrapText="1"/>
    </xf>
    <xf numFmtId="0" fontId="7" fillId="0" borderId="22" xfId="4" applyFont="1" applyFill="1" applyBorder="1" applyAlignment="1" applyProtection="1">
      <alignment horizontal="center" vertical="center" wrapText="1"/>
    </xf>
    <xf numFmtId="0" fontId="8" fillId="0" borderId="22" xfId="4" applyFont="1" applyFill="1" applyBorder="1" applyAlignment="1" applyProtection="1">
      <alignment horizontal="left" vertical="center" wrapText="1"/>
    </xf>
    <xf numFmtId="0" fontId="7" fillId="2" borderId="22" xfId="4" applyFont="1" applyFill="1" applyBorder="1" applyAlignment="1" applyProtection="1">
      <alignment horizontal="center" vertical="center" wrapText="1"/>
    </xf>
    <xf numFmtId="0" fontId="5" fillId="0" borderId="23" xfId="4" applyFill="1" applyBorder="1" applyAlignment="1" applyProtection="1"/>
    <xf numFmtId="0" fontId="5" fillId="0" borderId="6" xfId="4" applyFill="1" applyBorder="1" applyAlignment="1" applyProtection="1"/>
    <xf numFmtId="0" fontId="10" fillId="2" borderId="24" xfId="4" applyFont="1" applyFill="1" applyBorder="1" applyAlignment="1" applyProtection="1">
      <alignment horizontal="center" vertical="center"/>
    </xf>
    <xf numFmtId="0" fontId="10" fillId="2" borderId="25" xfId="4" applyFont="1" applyFill="1" applyBorder="1" applyAlignment="1" applyProtection="1">
      <alignment horizontal="center" vertical="center"/>
    </xf>
    <xf numFmtId="0" fontId="10" fillId="2" borderId="26" xfId="4" applyFont="1" applyFill="1" applyBorder="1" applyAlignment="1" applyProtection="1">
      <alignment horizontal="center" vertical="center"/>
    </xf>
    <xf numFmtId="0" fontId="5" fillId="0" borderId="0" xfId="4" applyFill="1" applyAlignment="1" applyProtection="1"/>
    <xf numFmtId="0" fontId="13" fillId="0" borderId="0" xfId="4" applyFont="1" applyFill="1" applyAlignment="1" applyProtection="1"/>
    <xf numFmtId="0" fontId="14" fillId="3" borderId="0" xfId="4" applyFont="1" applyFill="1" applyAlignment="1" applyProtection="1"/>
    <xf numFmtId="0" fontId="55" fillId="0" borderId="0" xfId="4" applyFont="1" applyFill="1" applyAlignment="1" applyProtection="1">
      <alignment vertical="center" wrapText="1"/>
    </xf>
    <xf numFmtId="0" fontId="55" fillId="0" borderId="0" xfId="4" applyFont="1" applyFill="1" applyBorder="1" applyAlignment="1" applyProtection="1">
      <alignment vertical="center" wrapText="1"/>
    </xf>
    <xf numFmtId="2" fontId="6" fillId="0" borderId="22" xfId="4" applyNumberFormat="1" applyFont="1" applyFill="1" applyBorder="1" applyAlignment="1" applyProtection="1">
      <alignment horizontal="center" vertical="center" wrapText="1"/>
    </xf>
    <xf numFmtId="0" fontId="56" fillId="12" borderId="0" xfId="4" applyFont="1" applyFill="1" applyProtection="1"/>
    <xf numFmtId="0" fontId="57" fillId="0" borderId="0" xfId="4" applyFont="1" applyFill="1" applyProtection="1"/>
    <xf numFmtId="0" fontId="5" fillId="0" borderId="44" xfId="4" applyFill="1" applyBorder="1" applyProtection="1"/>
    <xf numFmtId="0" fontId="57" fillId="0" borderId="0" xfId="4" applyFont="1" applyFill="1" applyBorder="1" applyProtection="1"/>
    <xf numFmtId="0" fontId="57" fillId="0" borderId="48" xfId="4" applyFont="1" applyFill="1" applyBorder="1" applyProtection="1"/>
    <xf numFmtId="0" fontId="54" fillId="0" borderId="48" xfId="4" applyFont="1" applyFill="1" applyBorder="1" applyProtection="1"/>
    <xf numFmtId="0" fontId="54" fillId="0" borderId="0" xfId="4" applyFont="1" applyFill="1" applyBorder="1" applyAlignment="1" applyProtection="1">
      <alignment horizontal="center" vertical="center"/>
    </xf>
    <xf numFmtId="1" fontId="54" fillId="0" borderId="0" xfId="4" applyNumberFormat="1" applyFont="1" applyFill="1" applyBorder="1" applyAlignment="1" applyProtection="1"/>
    <xf numFmtId="0" fontId="54" fillId="0" borderId="0" xfId="4" applyFont="1" applyFill="1" applyBorder="1" applyAlignment="1" applyProtection="1">
      <alignment horizontal="center"/>
    </xf>
    <xf numFmtId="0" fontId="57" fillId="0" borderId="0" xfId="4" applyFont="1" applyFill="1" applyBorder="1" applyAlignment="1" applyProtection="1">
      <alignment horizontal="center"/>
    </xf>
    <xf numFmtId="0" fontId="0" fillId="0" borderId="0" xfId="0" applyFill="1"/>
    <xf numFmtId="0" fontId="0" fillId="0" borderId="0" xfId="0" applyFill="1" applyBorder="1"/>
    <xf numFmtId="0" fontId="58" fillId="0" borderId="0" xfId="0" applyFont="1" applyFill="1" applyAlignment="1"/>
    <xf numFmtId="0" fontId="0" fillId="0" borderId="0" xfId="0" applyFill="1" applyProtection="1"/>
    <xf numFmtId="0" fontId="22" fillId="0" borderId="0" xfId="1" applyFill="1" applyAlignment="1" applyProtection="1">
      <alignment vertical="center" wrapText="1"/>
    </xf>
    <xf numFmtId="0" fontId="59" fillId="12" borderId="0" xfId="0" applyFont="1" applyFill="1" applyBorder="1" applyAlignment="1" applyProtection="1">
      <alignment vertical="top" wrapText="1"/>
    </xf>
    <xf numFmtId="0" fontId="0" fillId="0" borderId="52" xfId="0" applyBorder="1"/>
    <xf numFmtId="0" fontId="60" fillId="12" borderId="0" xfId="0" applyFont="1" applyFill="1" applyBorder="1" applyAlignment="1" applyProtection="1">
      <alignment vertical="top"/>
    </xf>
    <xf numFmtId="0" fontId="21" fillId="0" borderId="0" xfId="0" applyFont="1" applyFill="1" applyBorder="1"/>
    <xf numFmtId="0" fontId="61" fillId="0" borderId="0" xfId="1" applyFont="1" applyFill="1" applyBorder="1" applyAlignment="1" applyProtection="1">
      <protection locked="0"/>
    </xf>
    <xf numFmtId="0" fontId="21" fillId="0" borderId="0" xfId="0" applyFont="1" applyFill="1" applyBorder="1" applyAlignment="1">
      <alignment horizontal="right"/>
    </xf>
    <xf numFmtId="0" fontId="61" fillId="0" borderId="0" xfId="1" applyFont="1" applyFill="1" applyBorder="1" applyAlignment="1" applyProtection="1">
      <alignment horizontal="right"/>
      <protection locked="0"/>
    </xf>
    <xf numFmtId="0" fontId="62" fillId="12" borderId="0" xfId="0" applyFont="1" applyFill="1" applyBorder="1" applyAlignment="1" applyProtection="1">
      <alignment vertical="center" wrapText="1"/>
    </xf>
    <xf numFmtId="0" fontId="63" fillId="0" borderId="0" xfId="0" applyFont="1" applyFill="1" applyBorder="1" applyAlignment="1" applyProtection="1">
      <alignment vertical="center" wrapText="1"/>
    </xf>
    <xf numFmtId="0" fontId="21" fillId="0" borderId="53" xfId="0" applyFont="1" applyFill="1" applyBorder="1" applyProtection="1"/>
    <xf numFmtId="0" fontId="21" fillId="0" borderId="0" xfId="0" applyFont="1" applyFill="1" applyBorder="1" applyProtection="1"/>
    <xf numFmtId="0" fontId="0" fillId="12" borderId="54" xfId="0" applyFill="1" applyBorder="1"/>
    <xf numFmtId="0" fontId="0" fillId="12" borderId="55" xfId="0" applyFill="1" applyBorder="1"/>
    <xf numFmtId="0" fontId="0" fillId="12" borderId="56" xfId="0" applyFill="1" applyBorder="1"/>
    <xf numFmtId="0" fontId="0" fillId="12" borderId="57" xfId="0" applyFill="1" applyBorder="1"/>
    <xf numFmtId="0" fontId="0" fillId="12" borderId="58" xfId="0" applyFill="1" applyBorder="1"/>
    <xf numFmtId="0" fontId="60" fillId="12" borderId="57" xfId="0" applyFont="1" applyFill="1" applyBorder="1" applyAlignment="1" applyProtection="1">
      <alignment vertical="top"/>
    </xf>
    <xf numFmtId="0" fontId="60" fillId="12" borderId="58" xfId="0" applyFont="1" applyFill="1" applyBorder="1" applyAlignment="1" applyProtection="1">
      <alignment vertical="top"/>
    </xf>
    <xf numFmtId="0" fontId="64" fillId="12" borderId="0" xfId="0" applyFont="1" applyFill="1" applyBorder="1" applyAlignment="1">
      <alignment vertical="center" wrapText="1"/>
    </xf>
    <xf numFmtId="0" fontId="21" fillId="12" borderId="0" xfId="0" applyFont="1" applyFill="1" applyBorder="1"/>
    <xf numFmtId="0" fontId="65" fillId="12" borderId="0" xfId="0" applyFont="1" applyFill="1" applyBorder="1" applyAlignment="1"/>
    <xf numFmtId="0" fontId="66" fillId="12" borderId="0" xfId="0" applyFont="1" applyFill="1" applyBorder="1" applyAlignment="1">
      <alignment horizontal="right"/>
    </xf>
    <xf numFmtId="0" fontId="60" fillId="12" borderId="59" xfId="0" applyFont="1" applyFill="1" applyBorder="1" applyAlignment="1" applyProtection="1">
      <alignment vertical="top"/>
    </xf>
    <xf numFmtId="0" fontId="60" fillId="12" borderId="60" xfId="0" applyFont="1" applyFill="1" applyBorder="1" applyAlignment="1" applyProtection="1">
      <alignment vertical="top"/>
    </xf>
    <xf numFmtId="0" fontId="60" fillId="12" borderId="61" xfId="0" applyFont="1" applyFill="1" applyBorder="1" applyAlignment="1" applyProtection="1">
      <alignment vertical="top"/>
    </xf>
    <xf numFmtId="0" fontId="61" fillId="0" borderId="0" xfId="1" applyFont="1" applyFill="1" applyBorder="1" applyAlignment="1" applyProtection="1"/>
    <xf numFmtId="0" fontId="67" fillId="12" borderId="62" xfId="1" applyFont="1" applyFill="1" applyBorder="1" applyAlignment="1" applyProtection="1">
      <alignment horizontal="center" vertical="center"/>
      <protection locked="0"/>
    </xf>
    <xf numFmtId="0" fontId="67" fillId="12" borderId="63" xfId="1" applyFont="1" applyFill="1" applyBorder="1" applyAlignment="1" applyProtection="1">
      <alignment horizontal="center" vertical="center"/>
      <protection locked="0"/>
    </xf>
    <xf numFmtId="0" fontId="62" fillId="12" borderId="0" xfId="3" applyFont="1" applyFill="1" applyBorder="1" applyAlignment="1" applyProtection="1">
      <alignment vertical="center" wrapText="1"/>
    </xf>
    <xf numFmtId="0" fontId="68" fillId="12" borderId="0" xfId="3" applyFont="1" applyFill="1" applyBorder="1" applyAlignment="1" applyProtection="1">
      <alignment vertical="center" wrapText="1"/>
    </xf>
    <xf numFmtId="0" fontId="69" fillId="12" borderId="64" xfId="3" applyFont="1" applyFill="1" applyBorder="1" applyAlignment="1" applyProtection="1">
      <alignment vertical="center" wrapText="1"/>
    </xf>
    <xf numFmtId="0" fontId="70" fillId="12" borderId="64" xfId="3" applyFont="1" applyFill="1" applyBorder="1" applyAlignment="1" applyProtection="1">
      <alignment vertical="center" wrapText="1"/>
    </xf>
    <xf numFmtId="0" fontId="70" fillId="12" borderId="0" xfId="3" applyFont="1" applyFill="1" applyBorder="1" applyAlignment="1" applyProtection="1">
      <alignment vertical="center" wrapText="1"/>
    </xf>
    <xf numFmtId="0" fontId="71" fillId="12" borderId="64" xfId="3" applyFont="1" applyFill="1" applyBorder="1" applyAlignment="1" applyProtection="1">
      <alignment vertical="center"/>
      <protection locked="0"/>
    </xf>
    <xf numFmtId="0" fontId="69" fillId="0" borderId="0" xfId="1" applyFont="1" applyFill="1" applyBorder="1" applyAlignment="1" applyProtection="1">
      <alignment vertical="center"/>
      <protection locked="0"/>
    </xf>
    <xf numFmtId="0" fontId="28" fillId="0" borderId="0" xfId="3" applyFont="1" applyBorder="1" applyAlignment="1" applyProtection="1">
      <alignment horizontal="center" vertical="center"/>
      <protection locked="0" hidden="1"/>
    </xf>
    <xf numFmtId="0" fontId="69" fillId="12" borderId="65" xfId="3" applyFont="1" applyFill="1" applyBorder="1" applyAlignment="1" applyProtection="1">
      <alignment vertical="center" wrapText="1"/>
    </xf>
    <xf numFmtId="0" fontId="28" fillId="12" borderId="64" xfId="3" applyFont="1" applyFill="1" applyBorder="1" applyAlignment="1">
      <alignment horizontal="center" vertical="center"/>
    </xf>
    <xf numFmtId="0" fontId="70" fillId="0" borderId="0" xfId="3" applyFont="1" applyFill="1" applyBorder="1" applyAlignment="1" applyProtection="1">
      <alignment vertical="center" wrapText="1"/>
    </xf>
    <xf numFmtId="0" fontId="69" fillId="12" borderId="66" xfId="3" applyFont="1" applyFill="1" applyBorder="1" applyAlignment="1" applyProtection="1">
      <alignment vertical="center" wrapText="1"/>
    </xf>
    <xf numFmtId="0" fontId="70" fillId="12" borderId="67" xfId="3" applyFont="1" applyFill="1" applyBorder="1" applyAlignment="1" applyProtection="1">
      <alignment vertical="center" wrapText="1"/>
    </xf>
    <xf numFmtId="0" fontId="70" fillId="12" borderId="52" xfId="3" applyFont="1" applyFill="1" applyBorder="1" applyAlignment="1" applyProtection="1">
      <alignment vertical="center" wrapText="1"/>
    </xf>
    <xf numFmtId="0" fontId="69" fillId="12" borderId="68" xfId="3" applyFont="1" applyFill="1" applyBorder="1" applyAlignment="1" applyProtection="1">
      <alignment vertical="center" wrapText="1"/>
    </xf>
    <xf numFmtId="0" fontId="70" fillId="12" borderId="69" xfId="3" applyFont="1" applyFill="1" applyBorder="1" applyAlignment="1" applyProtection="1">
      <alignment vertical="center" wrapText="1"/>
    </xf>
    <xf numFmtId="0" fontId="70" fillId="0" borderId="69" xfId="3" applyFont="1" applyFill="1" applyBorder="1" applyAlignment="1" applyProtection="1">
      <alignment vertical="center" wrapText="1"/>
    </xf>
    <xf numFmtId="0" fontId="70" fillId="0" borderId="52" xfId="3" applyFont="1" applyFill="1" applyBorder="1" applyAlignment="1" applyProtection="1">
      <alignment vertical="center" wrapText="1"/>
    </xf>
    <xf numFmtId="0" fontId="72" fillId="0" borderId="0" xfId="3" applyFont="1" applyFill="1" applyBorder="1" applyAlignment="1" applyProtection="1">
      <alignment vertical="center"/>
    </xf>
    <xf numFmtId="1" fontId="73" fillId="0" borderId="0" xfId="3" applyNumberFormat="1" applyFont="1" applyFill="1" applyBorder="1" applyAlignment="1" applyProtection="1">
      <alignment horizontal="center" vertical="center"/>
    </xf>
    <xf numFmtId="0" fontId="73" fillId="0" borderId="0" xfId="3" applyFont="1" applyBorder="1" applyAlignment="1">
      <alignment horizontal="center" vertical="center"/>
    </xf>
    <xf numFmtId="0" fontId="73" fillId="0" borderId="0" xfId="3" applyFont="1" applyAlignment="1">
      <alignment horizontal="center" vertical="center"/>
    </xf>
    <xf numFmtId="0" fontId="73" fillId="10" borderId="0" xfId="3" applyFont="1" applyFill="1" applyBorder="1" applyAlignment="1" applyProtection="1">
      <alignment horizontal="center" vertical="center"/>
    </xf>
    <xf numFmtId="0" fontId="73" fillId="0" borderId="0" xfId="3" applyFont="1" applyFill="1" applyBorder="1" applyAlignment="1" applyProtection="1">
      <alignment vertical="center"/>
    </xf>
    <xf numFmtId="0" fontId="73" fillId="0" borderId="0" xfId="3" applyFont="1" applyFill="1" applyBorder="1" applyAlignment="1" applyProtection="1">
      <alignment horizontal="center" vertical="center"/>
    </xf>
    <xf numFmtId="0" fontId="73" fillId="0" borderId="0" xfId="3" applyFont="1" applyAlignment="1" applyProtection="1">
      <alignment horizontal="center" vertical="center"/>
    </xf>
    <xf numFmtId="0" fontId="73" fillId="0" borderId="0" xfId="3" applyFont="1" applyBorder="1" applyAlignment="1" applyProtection="1">
      <alignment horizontal="center" vertical="center"/>
    </xf>
    <xf numFmtId="0" fontId="74" fillId="0" borderId="0" xfId="3" applyFont="1" applyFill="1" applyBorder="1" applyAlignment="1" applyProtection="1">
      <alignment vertical="center"/>
    </xf>
    <xf numFmtId="0" fontId="74" fillId="0" borderId="0" xfId="3" applyFont="1" applyFill="1" applyAlignment="1" applyProtection="1">
      <alignment horizontal="center" vertical="center"/>
    </xf>
    <xf numFmtId="0" fontId="74" fillId="0" borderId="0" xfId="3" applyFont="1" applyFill="1" applyBorder="1" applyAlignment="1" applyProtection="1">
      <alignment vertical="top"/>
    </xf>
    <xf numFmtId="0" fontId="74" fillId="0" borderId="0" xfId="3" applyFont="1" applyFill="1" applyBorder="1" applyAlignment="1" applyProtection="1">
      <alignment horizontal="left" vertical="top"/>
    </xf>
    <xf numFmtId="0" fontId="75" fillId="0" borderId="0" xfId="3" applyFont="1" applyAlignment="1" applyProtection="1">
      <alignment horizontal="center" vertical="center"/>
    </xf>
    <xf numFmtId="0" fontId="76" fillId="0" borderId="0" xfId="3" applyFont="1" applyFill="1" applyBorder="1" applyAlignment="1" applyProtection="1">
      <alignment vertical="center"/>
    </xf>
    <xf numFmtId="0" fontId="77" fillId="0" borderId="0" xfId="3" applyFont="1" applyFill="1" applyBorder="1" applyAlignment="1" applyProtection="1">
      <alignment vertical="center"/>
    </xf>
    <xf numFmtId="0" fontId="75" fillId="0" borderId="0" xfId="3" applyFont="1" applyAlignment="1">
      <alignment horizontal="center" vertical="center"/>
    </xf>
    <xf numFmtId="0" fontId="74" fillId="0" borderId="0" xfId="3" applyFont="1" applyFill="1" applyBorder="1" applyAlignment="1" applyProtection="1"/>
    <xf numFmtId="1" fontId="77" fillId="0" borderId="0" xfId="3" applyNumberFormat="1" applyFont="1" applyFill="1" applyBorder="1" applyAlignment="1" applyProtection="1">
      <alignment vertical="center" wrapText="1"/>
    </xf>
    <xf numFmtId="0" fontId="77" fillId="0" borderId="0" xfId="3" applyFont="1" applyBorder="1" applyAlignment="1" applyProtection="1">
      <alignment vertical="center"/>
    </xf>
    <xf numFmtId="0" fontId="75" fillId="0" borderId="0" xfId="3" applyFont="1" applyBorder="1" applyAlignment="1">
      <alignment horizontal="center" vertical="center"/>
    </xf>
    <xf numFmtId="0" fontId="78" fillId="0" borderId="0" xfId="3" applyFont="1" applyFill="1" applyAlignment="1">
      <alignment vertical="top"/>
    </xf>
    <xf numFmtId="0" fontId="26" fillId="0" borderId="0" xfId="3" applyFont="1" applyAlignment="1" applyProtection="1">
      <alignment horizontal="center" vertical="center"/>
    </xf>
    <xf numFmtId="0" fontId="78" fillId="0" borderId="0" xfId="3" applyFont="1" applyAlignment="1" applyProtection="1">
      <alignment vertical="center"/>
    </xf>
    <xf numFmtId="0" fontId="79" fillId="0" borderId="0" xfId="3" applyFont="1" applyFill="1" applyBorder="1" applyAlignment="1" applyProtection="1">
      <alignment vertical="center"/>
    </xf>
    <xf numFmtId="0" fontId="26" fillId="0" borderId="0" xfId="3" applyFont="1" applyAlignment="1">
      <alignment horizontal="center" vertical="center"/>
    </xf>
    <xf numFmtId="0" fontId="80" fillId="0" borderId="0" xfId="3" applyFont="1" applyAlignment="1" applyProtection="1">
      <alignment horizontal="center" vertical="center"/>
    </xf>
    <xf numFmtId="0" fontId="78" fillId="0" borderId="0" xfId="3" applyFont="1" applyFill="1" applyBorder="1" applyAlignment="1" applyProtection="1">
      <alignment horizontal="center" vertical="center"/>
    </xf>
    <xf numFmtId="0" fontId="78" fillId="0" borderId="0" xfId="3" applyFont="1" applyAlignment="1">
      <alignment horizontal="center" vertical="center"/>
    </xf>
    <xf numFmtId="0" fontId="78" fillId="0" borderId="0" xfId="3" applyFont="1" applyFill="1" applyBorder="1" applyAlignment="1" applyProtection="1">
      <alignment vertical="center"/>
    </xf>
    <xf numFmtId="0" fontId="78" fillId="0" borderId="0" xfId="3" applyFont="1" applyFill="1" applyAlignment="1" applyProtection="1">
      <alignment horizontal="center" vertical="center"/>
    </xf>
    <xf numFmtId="0" fontId="78" fillId="0" borderId="0" xfId="3" applyFont="1" applyAlignment="1" applyProtection="1">
      <alignment horizontal="center" vertical="center"/>
    </xf>
    <xf numFmtId="1" fontId="78" fillId="0" borderId="0" xfId="3" applyNumberFormat="1" applyFont="1" applyFill="1" applyBorder="1" applyAlignment="1" applyProtection="1">
      <alignment vertical="center"/>
    </xf>
    <xf numFmtId="1" fontId="78" fillId="0" borderId="0" xfId="3" applyNumberFormat="1" applyFont="1" applyFill="1" applyBorder="1" applyAlignment="1" applyProtection="1">
      <alignment horizontal="right" vertical="center"/>
    </xf>
    <xf numFmtId="0" fontId="80" fillId="0" borderId="0" xfId="0" applyFont="1"/>
    <xf numFmtId="0" fontId="81" fillId="12" borderId="0" xfId="0" applyFont="1" applyFill="1" applyBorder="1" applyAlignment="1">
      <alignment vertical="center"/>
    </xf>
    <xf numFmtId="0" fontId="82" fillId="12" borderId="0" xfId="0" applyFont="1" applyFill="1" applyBorder="1" applyAlignment="1">
      <alignment vertical="center"/>
    </xf>
    <xf numFmtId="0" fontId="81" fillId="12" borderId="70" xfId="0" applyFont="1" applyFill="1" applyBorder="1" applyAlignment="1">
      <alignment vertical="center"/>
    </xf>
    <xf numFmtId="0" fontId="0" fillId="0" borderId="71" xfId="0" applyBorder="1"/>
    <xf numFmtId="0" fontId="0" fillId="0" borderId="0" xfId="0"/>
    <xf numFmtId="0" fontId="0" fillId="0" borderId="71" xfId="0" applyBorder="1"/>
    <xf numFmtId="0" fontId="0" fillId="0" borderId="52" xfId="0" applyBorder="1"/>
    <xf numFmtId="0" fontId="83" fillId="0" borderId="0" xfId="0" applyFont="1" applyBorder="1" applyAlignment="1"/>
    <xf numFmtId="0" fontId="83" fillId="0" borderId="72" xfId="0" applyFont="1" applyBorder="1" applyAlignment="1"/>
    <xf numFmtId="0" fontId="83" fillId="0" borderId="73" xfId="0" applyFont="1" applyBorder="1" applyAlignment="1"/>
    <xf numFmtId="0" fontId="83" fillId="0" borderId="74" xfId="0" applyFont="1" applyBorder="1" applyAlignment="1"/>
    <xf numFmtId="0" fontId="0" fillId="0" borderId="71" xfId="0" applyBorder="1" applyAlignment="1"/>
    <xf numFmtId="0" fontId="0" fillId="0" borderId="75" xfId="0" applyBorder="1" applyAlignment="1"/>
    <xf numFmtId="0" fontId="0" fillId="0" borderId="72" xfId="0" applyBorder="1" applyAlignment="1"/>
    <xf numFmtId="0" fontId="0" fillId="0" borderId="73" xfId="0" applyBorder="1" applyAlignment="1"/>
    <xf numFmtId="0" fontId="0" fillId="0" borderId="74" xfId="0" applyBorder="1" applyAlignment="1"/>
    <xf numFmtId="0" fontId="83" fillId="0" borderId="76" xfId="0" applyFont="1" applyBorder="1" applyAlignment="1"/>
    <xf numFmtId="0" fontId="83" fillId="0" borderId="77" xfId="0" applyFont="1" applyBorder="1" applyAlignment="1"/>
    <xf numFmtId="0" fontId="67" fillId="12" borderId="78" xfId="1" applyFont="1" applyFill="1" applyBorder="1" applyAlignment="1" applyProtection="1">
      <alignment horizontal="center" vertical="center"/>
      <protection locked="0"/>
    </xf>
    <xf numFmtId="0" fontId="67" fillId="12" borderId="63" xfId="1" applyFont="1" applyFill="1" applyBorder="1" applyAlignment="1" applyProtection="1">
      <alignment horizontal="center" vertical="center"/>
      <protection locked="0"/>
    </xf>
    <xf numFmtId="0" fontId="0" fillId="0" borderId="71" xfId="0" applyBorder="1"/>
    <xf numFmtId="0" fontId="0" fillId="0" borderId="0" xfId="0"/>
    <xf numFmtId="0" fontId="70" fillId="12" borderId="0" xfId="0" applyFont="1" applyFill="1" applyBorder="1" applyAlignment="1" applyProtection="1">
      <alignment horizontal="center" vertical="center"/>
      <protection locked="0"/>
    </xf>
    <xf numFmtId="0" fontId="70" fillId="12" borderId="0" xfId="0" applyFont="1" applyFill="1" applyBorder="1" applyAlignment="1">
      <alignment horizontal="left" vertical="center"/>
    </xf>
    <xf numFmtId="0" fontId="70" fillId="12" borderId="0" xfId="0" applyFont="1" applyFill="1" applyBorder="1" applyAlignment="1">
      <alignment vertical="center"/>
    </xf>
    <xf numFmtId="0" fontId="21" fillId="0" borderId="0" xfId="0" applyFont="1" applyProtection="1">
      <protection locked="0"/>
    </xf>
    <xf numFmtId="0" fontId="21" fillId="0" borderId="0" xfId="0" applyFont="1" applyProtection="1">
      <protection locked="0" hidden="1"/>
    </xf>
    <xf numFmtId="0" fontId="25" fillId="0" borderId="0" xfId="0" applyFont="1" applyBorder="1" applyAlignment="1"/>
    <xf numFmtId="0" fontId="84" fillId="0" borderId="71" xfId="0" applyFont="1" applyBorder="1" applyAlignment="1"/>
    <xf numFmtId="0" fontId="84" fillId="0" borderId="0" xfId="0" applyFont="1" applyAlignment="1"/>
    <xf numFmtId="20" fontId="84" fillId="0" borderId="71" xfId="0" applyNumberFormat="1" applyFont="1" applyBorder="1" applyAlignment="1"/>
    <xf numFmtId="0" fontId="25" fillId="0" borderId="0" xfId="0" applyFont="1" applyFill="1" applyBorder="1"/>
    <xf numFmtId="0" fontId="85" fillId="0" borderId="0" xfId="0" applyFont="1" applyFill="1" applyBorder="1" applyAlignment="1"/>
    <xf numFmtId="0" fontId="0" fillId="0" borderId="0" xfId="0" applyFill="1" applyBorder="1" applyAlignment="1"/>
    <xf numFmtId="0" fontId="86" fillId="0" borderId="0" xfId="0" applyFont="1" applyFill="1" applyBorder="1" applyAlignment="1">
      <alignment vertical="center"/>
    </xf>
    <xf numFmtId="0" fontId="87" fillId="0" borderId="0" xfId="0" applyFont="1" applyFill="1" applyBorder="1" applyAlignment="1">
      <alignment vertical="center" wrapText="1"/>
    </xf>
    <xf numFmtId="0" fontId="25" fillId="0" borderId="0" xfId="0" applyFont="1" applyFill="1" applyBorder="1" applyAlignment="1"/>
    <xf numFmtId="0" fontId="88" fillId="0" borderId="0" xfId="0" applyFont="1" applyFill="1" applyBorder="1" applyAlignment="1">
      <alignment vertical="center" wrapText="1"/>
    </xf>
    <xf numFmtId="0" fontId="88" fillId="0" borderId="0" xfId="0" applyFont="1" applyFill="1" applyBorder="1" applyAlignment="1">
      <alignment wrapText="1"/>
    </xf>
    <xf numFmtId="0" fontId="89" fillId="0" borderId="0" xfId="0" applyFont="1" applyFill="1" applyBorder="1" applyAlignment="1"/>
    <xf numFmtId="0" fontId="90" fillId="0" borderId="0" xfId="0" applyFont="1" applyFill="1" applyBorder="1" applyAlignment="1"/>
    <xf numFmtId="0" fontId="86" fillId="0" borderId="0" xfId="0" applyFont="1" applyFill="1" applyBorder="1" applyAlignment="1" applyProtection="1">
      <protection locked="0"/>
    </xf>
    <xf numFmtId="0" fontId="89" fillId="0" borderId="0" xfId="0" applyFont="1" applyFill="1" applyBorder="1" applyAlignment="1">
      <alignment wrapText="1"/>
    </xf>
    <xf numFmtId="0" fontId="87" fillId="0" borderId="0" xfId="0" applyFont="1" applyFill="1" applyBorder="1" applyAlignment="1">
      <alignment wrapText="1"/>
    </xf>
    <xf numFmtId="0" fontId="87" fillId="0" borderId="0" xfId="0" applyFont="1" applyFill="1" applyBorder="1" applyAlignment="1" applyProtection="1">
      <alignment wrapText="1"/>
      <protection locked="0"/>
    </xf>
    <xf numFmtId="0" fontId="90" fillId="0" borderId="0" xfId="0" applyFont="1" applyFill="1" applyBorder="1" applyAlignment="1" applyProtection="1">
      <protection locked="0"/>
    </xf>
    <xf numFmtId="0" fontId="25" fillId="0" borderId="0" xfId="0" applyFont="1" applyFill="1" applyBorder="1" applyAlignment="1" applyProtection="1">
      <protection locked="0"/>
    </xf>
    <xf numFmtId="0" fontId="89" fillId="0" borderId="0" xfId="0" applyFont="1" applyFill="1" applyBorder="1" applyAlignment="1" applyProtection="1"/>
    <xf numFmtId="0" fontId="86" fillId="0" borderId="0" xfId="0" applyFont="1" applyFill="1" applyBorder="1" applyAlignment="1"/>
    <xf numFmtId="0" fontId="91" fillId="0" borderId="0" xfId="0" applyFont="1" applyFill="1" applyBorder="1" applyAlignment="1"/>
    <xf numFmtId="0" fontId="87" fillId="0" borderId="0" xfId="0" applyFont="1" applyFill="1" applyBorder="1" applyAlignment="1"/>
    <xf numFmtId="0" fontId="89" fillId="0" borderId="0" xfId="0" applyFont="1" applyFill="1" applyBorder="1" applyAlignment="1" applyProtection="1">
      <protection locked="0"/>
    </xf>
    <xf numFmtId="0" fontId="92" fillId="0" borderId="0" xfId="0" applyFont="1" applyFill="1" applyBorder="1" applyAlignment="1">
      <alignment wrapText="1"/>
    </xf>
    <xf numFmtId="20" fontId="86" fillId="0" borderId="0" xfId="0" applyNumberFormat="1" applyFont="1" applyFill="1" applyBorder="1" applyAlignment="1"/>
    <xf numFmtId="0" fontId="82" fillId="12" borderId="70" xfId="0" applyFont="1" applyFill="1" applyBorder="1" applyAlignment="1">
      <alignment vertical="center"/>
    </xf>
    <xf numFmtId="1" fontId="68" fillId="0" borderId="0" xfId="0" applyNumberFormat="1" applyFont="1" applyFill="1" applyBorder="1" applyAlignment="1">
      <alignment vertical="center"/>
    </xf>
    <xf numFmtId="0" fontId="93" fillId="0" borderId="0" xfId="0" applyFont="1" applyFill="1" applyBorder="1" applyAlignment="1"/>
    <xf numFmtId="1" fontId="93" fillId="0" borderId="0" xfId="0" applyNumberFormat="1" applyFont="1" applyFill="1" applyBorder="1" applyAlignment="1"/>
    <xf numFmtId="1" fontId="89" fillId="0" borderId="0" xfId="0" applyNumberFormat="1" applyFont="1" applyFill="1" applyBorder="1" applyAlignment="1"/>
    <xf numFmtId="0" fontId="89" fillId="0" borderId="0" xfId="0" applyFont="1" applyFill="1" applyBorder="1" applyAlignment="1" applyProtection="1">
      <alignment wrapText="1"/>
      <protection locked="0"/>
    </xf>
    <xf numFmtId="1" fontId="89" fillId="0" borderId="0" xfId="0" applyNumberFormat="1" applyFont="1" applyFill="1" applyBorder="1" applyAlignment="1" applyProtection="1"/>
    <xf numFmtId="0" fontId="67" fillId="12" borderId="63" xfId="1" applyFont="1" applyFill="1" applyBorder="1" applyAlignment="1" applyProtection="1">
      <alignment horizontal="center" vertical="center"/>
      <protection locked="0"/>
    </xf>
    <xf numFmtId="0" fontId="0" fillId="0" borderId="0" xfId="0"/>
    <xf numFmtId="0" fontId="0" fillId="0" borderId="52" xfId="0" applyBorder="1"/>
    <xf numFmtId="0" fontId="94" fillId="7" borderId="78" xfId="1" applyFont="1" applyFill="1" applyBorder="1" applyAlignment="1" applyProtection="1">
      <alignment horizontal="center" vertical="center"/>
      <protection locked="0"/>
    </xf>
    <xf numFmtId="0" fontId="95" fillId="12" borderId="0" xfId="0" applyFont="1" applyFill="1"/>
    <xf numFmtId="0" fontId="95" fillId="0" borderId="52" xfId="0" applyFont="1" applyFill="1" applyBorder="1"/>
    <xf numFmtId="0" fontId="95" fillId="0" borderId="0" xfId="0" applyFont="1" applyFill="1"/>
    <xf numFmtId="0" fontId="95" fillId="0" borderId="0" xfId="0" applyFont="1"/>
    <xf numFmtId="2" fontId="96" fillId="0" borderId="0" xfId="0" applyNumberFormat="1" applyFont="1"/>
    <xf numFmtId="0" fontId="96" fillId="0" borderId="0" xfId="0" applyFont="1" applyFill="1" applyBorder="1" applyProtection="1"/>
    <xf numFmtId="0" fontId="63" fillId="12" borderId="0" xfId="0" applyFont="1" applyFill="1" applyBorder="1" applyAlignment="1" applyProtection="1">
      <alignment vertical="center" wrapText="1"/>
    </xf>
    <xf numFmtId="0" fontId="97" fillId="0" borderId="79" xfId="0" applyFont="1" applyBorder="1" applyAlignment="1"/>
    <xf numFmtId="0" fontId="97" fillId="0" borderId="0" xfId="0" applyFont="1" applyFill="1" applyBorder="1" applyAlignment="1"/>
    <xf numFmtId="0" fontId="75" fillId="0" borderId="80" xfId="0" applyFont="1" applyBorder="1" applyAlignment="1"/>
    <xf numFmtId="0" fontId="82" fillId="0" borderId="0" xfId="0" applyFont="1" applyFill="1" applyBorder="1" applyAlignment="1">
      <alignment horizontal="left" vertical="center"/>
    </xf>
    <xf numFmtId="0" fontId="75" fillId="7" borderId="80" xfId="0" applyFont="1" applyFill="1" applyBorder="1" applyAlignment="1" applyProtection="1">
      <protection locked="0"/>
    </xf>
    <xf numFmtId="0" fontId="97" fillId="7" borderId="77" xfId="0" applyFont="1" applyFill="1" applyBorder="1" applyAlignment="1"/>
    <xf numFmtId="0" fontId="97" fillId="7" borderId="77" xfId="0" applyFont="1" applyFill="1" applyBorder="1" applyAlignment="1" applyProtection="1"/>
    <xf numFmtId="1" fontId="75" fillId="7" borderId="80" xfId="0" applyNumberFormat="1" applyFont="1" applyFill="1" applyBorder="1" applyAlignment="1" applyProtection="1">
      <protection locked="0"/>
    </xf>
    <xf numFmtId="0" fontId="97" fillId="7" borderId="77" xfId="0" applyFont="1" applyFill="1" applyBorder="1" applyAlignment="1" applyProtection="1">
      <protection locked="0"/>
    </xf>
    <xf numFmtId="0" fontId="0" fillId="0" borderId="0" xfId="0" applyFont="1" applyFill="1" applyBorder="1"/>
    <xf numFmtId="0" fontId="97" fillId="0" borderId="81" xfId="0" applyFont="1" applyBorder="1" applyAlignment="1"/>
    <xf numFmtId="0" fontId="97" fillId="0" borderId="82" xfId="0" applyFont="1" applyBorder="1" applyAlignment="1"/>
    <xf numFmtId="0" fontId="75" fillId="0" borderId="83" xfId="0" applyFont="1" applyBorder="1" applyAlignment="1"/>
    <xf numFmtId="0" fontId="97" fillId="0" borderId="84" xfId="0" applyFont="1" applyBorder="1" applyAlignment="1"/>
    <xf numFmtId="0" fontId="97" fillId="0" borderId="85" xfId="0" applyFont="1" applyBorder="1" applyAlignment="1"/>
    <xf numFmtId="0" fontId="98" fillId="7" borderId="86" xfId="0" applyFont="1" applyFill="1" applyBorder="1"/>
    <xf numFmtId="0" fontId="74" fillId="7" borderId="85" xfId="0" applyFont="1" applyFill="1" applyBorder="1" applyAlignment="1" applyProtection="1">
      <protection locked="0"/>
    </xf>
    <xf numFmtId="0" fontId="97" fillId="7" borderId="87" xfId="0" applyFont="1" applyFill="1" applyBorder="1" applyAlignment="1" applyProtection="1">
      <protection locked="0"/>
    </xf>
    <xf numFmtId="0" fontId="75" fillId="0" borderId="88" xfId="0" applyFont="1" applyBorder="1" applyAlignment="1"/>
    <xf numFmtId="0" fontId="75" fillId="13" borderId="83" xfId="0" applyFont="1" applyFill="1" applyBorder="1" applyAlignment="1" applyProtection="1"/>
    <xf numFmtId="0" fontId="75" fillId="7" borderId="89" xfId="0" applyFont="1" applyFill="1" applyBorder="1" applyAlignment="1" applyProtection="1">
      <protection locked="0"/>
    </xf>
    <xf numFmtId="0" fontId="75" fillId="7" borderId="87" xfId="0" applyFont="1" applyFill="1" applyBorder="1" applyAlignment="1" applyProtection="1">
      <protection locked="0"/>
    </xf>
    <xf numFmtId="0" fontId="75" fillId="7" borderId="83" xfId="0" applyFont="1" applyFill="1" applyBorder="1" applyAlignment="1" applyProtection="1">
      <protection locked="0"/>
    </xf>
    <xf numFmtId="0" fontId="67" fillId="12" borderId="63" xfId="1" applyFont="1" applyFill="1" applyBorder="1" applyAlignment="1" applyProtection="1">
      <alignment horizontal="center" vertical="center"/>
      <protection locked="0"/>
    </xf>
    <xf numFmtId="0" fontId="0" fillId="0" borderId="0" xfId="0"/>
    <xf numFmtId="0" fontId="83" fillId="0" borderId="0" xfId="0" applyFont="1" applyFill="1" applyBorder="1" applyAlignment="1"/>
    <xf numFmtId="0" fontId="83" fillId="0" borderId="0" xfId="0" applyFont="1" applyFill="1" applyBorder="1" applyAlignment="1">
      <alignment wrapText="1"/>
    </xf>
    <xf numFmtId="0" fontId="99" fillId="0" borderId="0" xfId="0" applyFont="1" applyFill="1" applyBorder="1" applyAlignment="1"/>
    <xf numFmtId="1" fontId="75" fillId="7" borderId="83" xfId="0" applyNumberFormat="1" applyFont="1" applyFill="1" applyBorder="1" applyAlignment="1" applyProtection="1">
      <protection locked="0"/>
    </xf>
    <xf numFmtId="1" fontId="68" fillId="12" borderId="90" xfId="0" applyNumberFormat="1" applyFont="1" applyFill="1" applyBorder="1" applyAlignment="1">
      <alignment vertical="center"/>
    </xf>
    <xf numFmtId="0" fontId="68" fillId="12" borderId="70" xfId="0" applyFont="1" applyFill="1" applyBorder="1" applyAlignment="1">
      <alignment vertical="center"/>
    </xf>
    <xf numFmtId="0" fontId="75" fillId="12" borderId="90" xfId="0" applyFont="1" applyFill="1" applyBorder="1" applyAlignment="1" applyProtection="1">
      <alignment vertical="center"/>
    </xf>
    <xf numFmtId="0" fontId="68" fillId="12" borderId="90" xfId="0" applyFont="1" applyFill="1" applyBorder="1" applyAlignment="1">
      <alignment vertical="center"/>
    </xf>
    <xf numFmtId="0" fontId="68" fillId="12" borderId="91" xfId="0" applyFont="1" applyFill="1" applyBorder="1" applyAlignment="1">
      <alignment vertical="center"/>
    </xf>
    <xf numFmtId="0" fontId="97" fillId="7" borderId="85" xfId="0" applyFont="1" applyFill="1" applyBorder="1" applyAlignment="1" applyProtection="1">
      <protection locked="0"/>
    </xf>
    <xf numFmtId="0" fontId="97" fillId="7" borderId="85" xfId="0" applyFont="1" applyFill="1" applyBorder="1" applyAlignment="1"/>
    <xf numFmtId="0" fontId="97" fillId="7" borderId="85" xfId="0" applyFont="1" applyFill="1" applyBorder="1" applyAlignment="1" applyProtection="1"/>
    <xf numFmtId="0" fontId="97" fillId="7" borderId="89" xfId="0" applyFont="1" applyFill="1" applyBorder="1" applyAlignment="1"/>
    <xf numFmtId="0" fontId="97" fillId="7" borderId="87" xfId="0" applyFont="1" applyFill="1" applyBorder="1" applyAlignment="1"/>
    <xf numFmtId="2" fontId="75" fillId="12" borderId="90" xfId="0" applyNumberFormat="1" applyFont="1" applyFill="1" applyBorder="1" applyAlignment="1" applyProtection="1">
      <alignment vertical="center"/>
    </xf>
    <xf numFmtId="0" fontId="73" fillId="0" borderId="0" xfId="0" applyFont="1" applyFill="1" applyBorder="1" applyAlignment="1" applyProtection="1">
      <alignment wrapText="1"/>
      <protection locked="0"/>
    </xf>
    <xf numFmtId="0" fontId="75" fillId="7" borderId="92" xfId="0" applyFont="1" applyFill="1" applyBorder="1" applyAlignment="1" applyProtection="1">
      <protection locked="0"/>
    </xf>
    <xf numFmtId="0" fontId="75" fillId="13" borderId="80" xfId="0" applyFont="1" applyFill="1" applyBorder="1" applyAlignment="1" applyProtection="1"/>
    <xf numFmtId="0" fontId="97" fillId="0" borderId="85" xfId="0" applyFont="1" applyFill="1" applyBorder="1" applyAlignment="1"/>
    <xf numFmtId="0" fontId="97" fillId="0" borderId="77" xfId="0" applyFont="1" applyFill="1" applyBorder="1" applyAlignment="1"/>
    <xf numFmtId="0" fontId="97" fillId="0" borderId="85" xfId="0" applyFont="1" applyFill="1" applyBorder="1" applyAlignment="1" applyProtection="1"/>
    <xf numFmtId="0" fontId="97" fillId="0" borderId="76" xfId="0" applyFont="1" applyBorder="1" applyAlignment="1"/>
    <xf numFmtId="0" fontId="97" fillId="0" borderId="86" xfId="0" applyFont="1" applyBorder="1" applyAlignment="1"/>
    <xf numFmtId="0" fontId="97" fillId="7" borderId="86" xfId="0" applyFont="1" applyFill="1" applyBorder="1" applyAlignment="1" applyProtection="1">
      <protection locked="0"/>
    </xf>
    <xf numFmtId="0" fontId="0" fillId="0" borderId="0" xfId="0"/>
    <xf numFmtId="0" fontId="0" fillId="0" borderId="0" xfId="0"/>
    <xf numFmtId="0" fontId="0" fillId="0" borderId="71" xfId="0" applyBorder="1"/>
    <xf numFmtId="0" fontId="0" fillId="0" borderId="0" xfId="0"/>
    <xf numFmtId="0" fontId="70" fillId="12" borderId="0" xfId="0" applyFont="1" applyFill="1" applyBorder="1" applyAlignment="1">
      <alignment horizontal="left" vertical="center"/>
    </xf>
    <xf numFmtId="0" fontId="100" fillId="0" borderId="0" xfId="3" applyFont="1" applyFill="1" applyBorder="1" applyAlignment="1" applyProtection="1">
      <alignment vertical="center"/>
    </xf>
    <xf numFmtId="0" fontId="101" fillId="0" borderId="0" xfId="3" applyFont="1" applyFill="1" applyBorder="1" applyAlignment="1" applyProtection="1">
      <alignment vertical="center" textRotation="90" wrapText="1"/>
    </xf>
    <xf numFmtId="0" fontId="102" fillId="0" borderId="0" xfId="3" applyFont="1" applyBorder="1" applyAlignment="1" applyProtection="1">
      <alignment horizontal="center" vertical="center"/>
      <protection hidden="1"/>
    </xf>
    <xf numFmtId="0" fontId="102" fillId="0" borderId="0" xfId="3" applyFont="1" applyAlignment="1">
      <alignment horizontal="center" vertical="center"/>
    </xf>
    <xf numFmtId="0" fontId="0" fillId="0" borderId="0" xfId="0"/>
    <xf numFmtId="0" fontId="0" fillId="0" borderId="0" xfId="0" applyBorder="1"/>
    <xf numFmtId="0" fontId="0" fillId="0" borderId="0" xfId="0" applyBorder="1" applyAlignment="1"/>
    <xf numFmtId="0" fontId="90" fillId="0" borderId="0" xfId="0" applyFont="1" applyBorder="1" applyAlignment="1"/>
    <xf numFmtId="0" fontId="84" fillId="0" borderId="0" xfId="0" applyFont="1" applyBorder="1" applyAlignment="1"/>
    <xf numFmtId="0" fontId="103" fillId="13" borderId="0" xfId="0" applyFont="1" applyFill="1" applyBorder="1" applyAlignment="1" applyProtection="1"/>
    <xf numFmtId="0" fontId="67" fillId="12" borderId="63" xfId="1" applyFont="1" applyFill="1" applyBorder="1" applyAlignment="1" applyProtection="1">
      <alignment horizontal="center" vertical="center"/>
      <protection locked="0"/>
    </xf>
    <xf numFmtId="0" fontId="0" fillId="0" borderId="0" xfId="0" applyBorder="1"/>
    <xf numFmtId="0" fontId="0" fillId="0" borderId="0" xfId="0"/>
    <xf numFmtId="0" fontId="94" fillId="7" borderId="63" xfId="1" applyFont="1" applyFill="1" applyBorder="1" applyAlignment="1" applyProtection="1">
      <alignment horizontal="center" vertical="center"/>
      <protection locked="0"/>
    </xf>
    <xf numFmtId="0" fontId="104" fillId="0" borderId="0" xfId="3" applyFont="1" applyAlignment="1" applyProtection="1">
      <alignment horizontal="center" vertical="center"/>
    </xf>
    <xf numFmtId="0" fontId="75" fillId="0" borderId="92" xfId="0" applyFont="1" applyBorder="1" applyAlignment="1"/>
    <xf numFmtId="0" fontId="97" fillId="0" borderId="74" xfId="0" applyFont="1" applyBorder="1" applyAlignment="1"/>
    <xf numFmtId="0" fontId="97" fillId="7" borderId="74" xfId="0" applyFont="1" applyFill="1" applyBorder="1" applyAlignment="1"/>
    <xf numFmtId="0" fontId="97" fillId="0" borderId="93" xfId="0" applyFont="1" applyBorder="1" applyAlignment="1"/>
    <xf numFmtId="0" fontId="97" fillId="0" borderId="94" xfId="0" applyFont="1" applyBorder="1" applyAlignment="1"/>
    <xf numFmtId="0" fontId="75" fillId="0" borderId="95" xfId="0" applyFont="1" applyBorder="1" applyAlignment="1"/>
    <xf numFmtId="0" fontId="97" fillId="0" borderId="96" xfId="0" applyFont="1" applyBorder="1" applyAlignment="1"/>
    <xf numFmtId="0" fontId="75" fillId="7" borderId="95" xfId="0" applyFont="1" applyFill="1" applyBorder="1" applyAlignment="1" applyProtection="1">
      <protection locked="0"/>
    </xf>
    <xf numFmtId="0" fontId="97" fillId="7" borderId="96" xfId="0" applyFont="1" applyFill="1" applyBorder="1" applyAlignment="1"/>
    <xf numFmtId="0" fontId="75" fillId="7" borderId="97" xfId="0" applyFont="1" applyFill="1" applyBorder="1" applyAlignment="1" applyProtection="1">
      <protection locked="0"/>
    </xf>
    <xf numFmtId="0" fontId="105" fillId="0" borderId="0" xfId="3" applyFont="1" applyFill="1" applyBorder="1" applyAlignment="1" applyProtection="1">
      <alignment vertical="center"/>
    </xf>
    <xf numFmtId="1" fontId="104" fillId="0" borderId="0" xfId="3" applyNumberFormat="1" applyFont="1" applyAlignment="1">
      <alignment vertical="center"/>
    </xf>
    <xf numFmtId="0" fontId="104" fillId="0" borderId="0" xfId="3" applyFont="1" applyAlignment="1">
      <alignment horizontal="center" vertical="center"/>
    </xf>
    <xf numFmtId="0" fontId="104" fillId="0" borderId="0" xfId="3" applyFont="1" applyAlignment="1">
      <alignment vertical="center"/>
    </xf>
    <xf numFmtId="0" fontId="104" fillId="0" borderId="0" xfId="3" applyFont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2" fontId="21" fillId="0" borderId="0" xfId="0" applyNumberFormat="1" applyFont="1" applyFill="1" applyBorder="1"/>
    <xf numFmtId="0" fontId="0" fillId="0" borderId="0" xfId="0"/>
    <xf numFmtId="0" fontId="67" fillId="12" borderId="63" xfId="1" applyFont="1" applyFill="1" applyBorder="1" applyAlignment="1" applyProtection="1">
      <alignment horizontal="center" vertical="center"/>
      <protection locked="0"/>
    </xf>
    <xf numFmtId="1" fontId="75" fillId="0" borderId="88" xfId="0" applyNumberFormat="1" applyFont="1" applyBorder="1" applyAlignment="1"/>
    <xf numFmtId="1" fontId="75" fillId="0" borderId="83" xfId="0" applyNumberFormat="1" applyFont="1" applyBorder="1" applyAlignment="1"/>
    <xf numFmtId="1" fontId="75" fillId="0" borderId="80" xfId="0" applyNumberFormat="1" applyFont="1" applyBorder="1" applyAlignment="1"/>
    <xf numFmtId="1" fontId="75" fillId="13" borderId="83" xfId="0" applyNumberFormat="1" applyFont="1" applyFill="1" applyBorder="1" applyAlignment="1" applyProtection="1"/>
    <xf numFmtId="0" fontId="107" fillId="12" borderId="0" xfId="0" applyFont="1" applyFill="1" applyBorder="1" applyAlignment="1">
      <alignment vertical="center"/>
    </xf>
    <xf numFmtId="0" fontId="108" fillId="12" borderId="0" xfId="0" applyFont="1" applyFill="1" applyBorder="1" applyAlignment="1">
      <alignment vertical="center"/>
    </xf>
    <xf numFmtId="0" fontId="21" fillId="0" borderId="0" xfId="0" applyFont="1" applyBorder="1" applyAlignment="1"/>
    <xf numFmtId="0" fontId="109" fillId="0" borderId="0" xfId="0" applyFont="1" applyBorder="1" applyAlignment="1"/>
    <xf numFmtId="166" fontId="21" fillId="0" borderId="0" xfId="0" applyNumberFormat="1" applyFont="1"/>
    <xf numFmtId="0" fontId="0" fillId="0" borderId="0" xfId="0"/>
    <xf numFmtId="0" fontId="67" fillId="12" borderId="63" xfId="1" applyFont="1" applyFill="1" applyBorder="1" applyAlignment="1" applyProtection="1">
      <alignment horizontal="center" vertical="center"/>
      <protection locked="0"/>
    </xf>
    <xf numFmtId="0" fontId="0" fillId="0" borderId="0" xfId="0" applyBorder="1"/>
    <xf numFmtId="0" fontId="21" fillId="0" borderId="0" xfId="0" applyFont="1" applyFill="1" applyBorder="1" applyProtection="1">
      <protection locked="0" hidden="1"/>
    </xf>
    <xf numFmtId="0" fontId="67" fillId="12" borderId="63" xfId="1" applyFont="1" applyFill="1" applyBorder="1" applyAlignment="1" applyProtection="1">
      <alignment horizontal="center" vertical="center"/>
      <protection locked="0"/>
    </xf>
    <xf numFmtId="1" fontId="106" fillId="0" borderId="0" xfId="0" applyNumberFormat="1" applyFont="1" applyBorder="1" applyAlignment="1"/>
    <xf numFmtId="0" fontId="75" fillId="0" borderId="0" xfId="0" applyFont="1" applyBorder="1" applyAlignment="1"/>
    <xf numFmtId="0" fontId="106" fillId="0" borderId="0" xfId="0" applyFont="1" applyBorder="1" applyAlignment="1"/>
    <xf numFmtId="0" fontId="81" fillId="0" borderId="0" xfId="0" applyFont="1" applyFill="1" applyBorder="1"/>
    <xf numFmtId="0" fontId="75" fillId="7" borderId="88" xfId="0" applyFont="1" applyFill="1" applyBorder="1" applyAlignment="1" applyProtection="1">
      <protection locked="0"/>
    </xf>
    <xf numFmtId="2" fontId="75" fillId="7" borderId="83" xfId="0" applyNumberFormat="1" applyFont="1" applyFill="1" applyBorder="1" applyAlignment="1" applyProtection="1">
      <protection locked="0"/>
    </xf>
    <xf numFmtId="2" fontId="75" fillId="7" borderId="80" xfId="0" applyNumberFormat="1" applyFont="1" applyFill="1" applyBorder="1" applyAlignment="1" applyProtection="1">
      <protection locked="0"/>
    </xf>
    <xf numFmtId="0" fontId="137" fillId="0" borderId="44" xfId="4" applyFont="1" applyFill="1" applyBorder="1" applyAlignment="1" applyProtection="1">
      <alignment vertical="center"/>
    </xf>
    <xf numFmtId="0" fontId="137" fillId="0" borderId="45" xfId="4" applyFont="1" applyFill="1" applyBorder="1" applyAlignment="1" applyProtection="1">
      <alignment vertical="center"/>
    </xf>
    <xf numFmtId="0" fontId="137" fillId="0" borderId="46" xfId="4" applyFont="1" applyFill="1" applyBorder="1" applyAlignment="1" applyProtection="1">
      <alignment vertical="center"/>
    </xf>
    <xf numFmtId="0" fontId="137" fillId="0" borderId="45" xfId="4" applyFont="1" applyFill="1" applyBorder="1" applyProtection="1"/>
    <xf numFmtId="0" fontId="137" fillId="0" borderId="46" xfId="4" applyFont="1" applyFill="1" applyBorder="1" applyProtection="1"/>
    <xf numFmtId="0" fontId="137" fillId="0" borderId="47" xfId="4" applyFont="1" applyFill="1" applyBorder="1" applyAlignment="1" applyProtection="1">
      <alignment vertical="center"/>
    </xf>
    <xf numFmtId="0" fontId="137" fillId="0" borderId="0" xfId="4" applyFont="1" applyFill="1" applyBorder="1" applyAlignment="1" applyProtection="1">
      <alignment vertical="center"/>
    </xf>
    <xf numFmtId="0" fontId="137" fillId="0" borderId="48" xfId="4" applyFont="1" applyFill="1" applyBorder="1" applyAlignment="1" applyProtection="1">
      <alignment vertical="center"/>
    </xf>
    <xf numFmtId="0" fontId="137" fillId="0" borderId="0" xfId="4" applyFont="1" applyFill="1" applyBorder="1" applyProtection="1"/>
    <xf numFmtId="0" fontId="137" fillId="0" borderId="48" xfId="4" applyFont="1" applyFill="1" applyBorder="1" applyProtection="1"/>
    <xf numFmtId="0" fontId="137" fillId="0" borderId="47" xfId="4" applyFont="1" applyFill="1" applyBorder="1" applyProtection="1"/>
    <xf numFmtId="0" fontId="137" fillId="0" borderId="49" xfId="4" applyFont="1" applyFill="1" applyBorder="1" applyProtection="1"/>
    <xf numFmtId="0" fontId="137" fillId="0" borderId="50" xfId="4" applyFont="1" applyFill="1" applyBorder="1" applyProtection="1"/>
    <xf numFmtId="0" fontId="137" fillId="0" borderId="51" xfId="4" applyFont="1" applyFill="1" applyBorder="1" applyProtection="1"/>
    <xf numFmtId="0" fontId="110" fillId="14" borderId="27" xfId="3" applyFont="1" applyFill="1" applyBorder="1" applyAlignment="1">
      <alignment horizontal="center" vertical="center" wrapText="1"/>
    </xf>
    <xf numFmtId="0" fontId="110" fillId="14" borderId="28" xfId="3" applyFont="1" applyFill="1" applyBorder="1" applyAlignment="1">
      <alignment horizontal="center" vertical="center" wrapText="1"/>
    </xf>
    <xf numFmtId="0" fontId="110" fillId="14" borderId="29" xfId="3" applyFont="1" applyFill="1" applyBorder="1" applyAlignment="1">
      <alignment horizontal="center" vertical="center" wrapText="1"/>
    </xf>
    <xf numFmtId="0" fontId="110" fillId="14" borderId="30" xfId="3" applyFont="1" applyFill="1" applyBorder="1" applyAlignment="1">
      <alignment horizontal="center" vertical="center" wrapText="1"/>
    </xf>
    <xf numFmtId="0" fontId="110" fillId="14" borderId="3" xfId="3" applyFont="1" applyFill="1" applyBorder="1" applyAlignment="1">
      <alignment horizontal="center" vertical="center" wrapText="1"/>
    </xf>
    <xf numFmtId="0" fontId="110" fillId="14" borderId="4" xfId="3" applyFont="1" applyFill="1" applyBorder="1" applyAlignment="1">
      <alignment horizontal="center" vertical="center" wrapText="1"/>
    </xf>
    <xf numFmtId="0" fontId="27" fillId="7" borderId="1" xfId="3" applyFont="1" applyFill="1" applyBorder="1" applyAlignment="1">
      <alignment horizontal="center" vertical="center" wrapText="1"/>
    </xf>
    <xf numFmtId="0" fontId="26" fillId="14" borderId="1" xfId="3" applyFont="1" applyFill="1" applyBorder="1" applyAlignment="1">
      <alignment horizontal="center" vertical="center" wrapText="1"/>
    </xf>
    <xf numFmtId="0" fontId="27" fillId="7" borderId="1" xfId="3" applyFont="1" applyFill="1" applyBorder="1" applyAlignment="1">
      <alignment horizontal="left" vertical="center" wrapText="1"/>
    </xf>
    <xf numFmtId="0" fontId="110" fillId="14" borderId="1" xfId="3" applyFont="1" applyFill="1" applyBorder="1" applyAlignment="1">
      <alignment horizontal="center" vertical="center" wrapText="1"/>
    </xf>
    <xf numFmtId="1" fontId="111" fillId="0" borderId="76" xfId="0" applyNumberFormat="1" applyFont="1" applyBorder="1" applyAlignment="1">
      <alignment horizontal="right"/>
    </xf>
    <xf numFmtId="1" fontId="111" fillId="0" borderId="0" xfId="0" applyNumberFormat="1" applyFont="1" applyBorder="1" applyAlignment="1">
      <alignment horizontal="right"/>
    </xf>
    <xf numFmtId="1" fontId="111" fillId="0" borderId="73" xfId="0" applyNumberFormat="1" applyFont="1" applyBorder="1" applyAlignment="1">
      <alignment horizontal="right"/>
    </xf>
    <xf numFmtId="1" fontId="111" fillId="13" borderId="76" xfId="0" applyNumberFormat="1" applyFont="1" applyFill="1" applyBorder="1" applyAlignment="1" applyProtection="1">
      <alignment horizontal="right"/>
    </xf>
    <xf numFmtId="1" fontId="111" fillId="13" borderId="0" xfId="0" applyNumberFormat="1" applyFont="1" applyFill="1" applyBorder="1" applyAlignment="1" applyProtection="1">
      <alignment horizontal="right"/>
    </xf>
    <xf numFmtId="1" fontId="111" fillId="13" borderId="73" xfId="0" applyNumberFormat="1" applyFont="1" applyFill="1" applyBorder="1" applyAlignment="1" applyProtection="1">
      <alignment horizontal="right"/>
    </xf>
    <xf numFmtId="2" fontId="62" fillId="12" borderId="57" xfId="0" applyNumberFormat="1" applyFont="1" applyFill="1" applyBorder="1" applyAlignment="1" applyProtection="1">
      <alignment horizontal="left" vertical="center"/>
    </xf>
    <xf numFmtId="2" fontId="62" fillId="12" borderId="98" xfId="0" applyNumberFormat="1" applyFont="1" applyFill="1" applyBorder="1" applyAlignment="1" applyProtection="1">
      <alignment horizontal="left" vertical="center"/>
    </xf>
    <xf numFmtId="1" fontId="112" fillId="0" borderId="76" xfId="0" applyNumberFormat="1" applyFont="1" applyBorder="1" applyAlignment="1">
      <alignment horizontal="left"/>
    </xf>
    <xf numFmtId="1" fontId="112" fillId="0" borderId="0" xfId="0" applyNumberFormat="1" applyFont="1" applyBorder="1" applyAlignment="1">
      <alignment horizontal="left"/>
    </xf>
    <xf numFmtId="1" fontId="112" fillId="0" borderId="73" xfId="0" applyNumberFormat="1" applyFont="1" applyBorder="1" applyAlignment="1">
      <alignment horizontal="left"/>
    </xf>
    <xf numFmtId="1" fontId="113" fillId="0" borderId="0" xfId="0" applyNumberFormat="1" applyFont="1" applyBorder="1" applyAlignment="1">
      <alignment horizontal="left"/>
    </xf>
    <xf numFmtId="1" fontId="113" fillId="0" borderId="73" xfId="0" applyNumberFormat="1" applyFont="1" applyBorder="1" applyAlignment="1">
      <alignment horizontal="left"/>
    </xf>
    <xf numFmtId="0" fontId="75" fillId="0" borderId="99" xfId="0" applyFont="1" applyBorder="1" applyAlignment="1">
      <alignment horizontal="center" vertical="center" wrapText="1"/>
    </xf>
    <xf numFmtId="0" fontId="75" fillId="0" borderId="71" xfId="0" applyFont="1" applyBorder="1" applyAlignment="1">
      <alignment horizontal="center" vertical="center" wrapText="1"/>
    </xf>
    <xf numFmtId="0" fontId="75" fillId="0" borderId="100" xfId="0" applyFont="1" applyBorder="1" applyAlignment="1">
      <alignment horizontal="center" vertical="center" wrapText="1"/>
    </xf>
    <xf numFmtId="0" fontId="75" fillId="0" borderId="69" xfId="0" applyFont="1" applyBorder="1" applyAlignment="1">
      <alignment horizontal="center" vertical="center" wrapText="1"/>
    </xf>
    <xf numFmtId="0" fontId="75" fillId="0" borderId="0" xfId="0" applyFont="1" applyBorder="1" applyAlignment="1">
      <alignment horizontal="center" vertical="center" wrapText="1"/>
    </xf>
    <xf numFmtId="0" fontId="75" fillId="0" borderId="52" xfId="0" applyFont="1" applyBorder="1" applyAlignment="1">
      <alignment horizontal="center" vertical="center" wrapText="1"/>
    </xf>
    <xf numFmtId="0" fontId="75" fillId="0" borderId="101" xfId="0" applyFont="1" applyBorder="1" applyAlignment="1">
      <alignment horizontal="center" vertical="center" wrapText="1"/>
    </xf>
    <xf numFmtId="0" fontId="75" fillId="0" borderId="70" xfId="0" applyFont="1" applyBorder="1" applyAlignment="1">
      <alignment horizontal="center" vertical="center" wrapText="1"/>
    </xf>
    <xf numFmtId="0" fontId="75" fillId="0" borderId="91" xfId="0" applyFont="1" applyBorder="1" applyAlignment="1">
      <alignment horizontal="center" vertical="center" wrapText="1"/>
    </xf>
    <xf numFmtId="0" fontId="19" fillId="12" borderId="55" xfId="0" applyFont="1" applyFill="1" applyBorder="1" applyAlignment="1" applyProtection="1">
      <alignment horizontal="center" vertical="center"/>
    </xf>
    <xf numFmtId="0" fontId="62" fillId="12" borderId="55" xfId="0" applyFont="1" applyFill="1" applyBorder="1" applyAlignment="1" applyProtection="1">
      <alignment horizontal="center" vertical="center"/>
    </xf>
    <xf numFmtId="0" fontId="62" fillId="12" borderId="0" xfId="0" applyFont="1" applyFill="1" applyBorder="1" applyAlignment="1" applyProtection="1">
      <alignment horizontal="center" vertical="center"/>
    </xf>
    <xf numFmtId="1" fontId="115" fillId="12" borderId="104" xfId="0" applyNumberFormat="1" applyFont="1" applyFill="1" applyBorder="1" applyAlignment="1" applyProtection="1">
      <alignment horizontal="center" vertical="center"/>
    </xf>
    <xf numFmtId="1" fontId="115" fillId="12" borderId="105" xfId="0" applyNumberFormat="1" applyFont="1" applyFill="1" applyBorder="1" applyAlignment="1" applyProtection="1">
      <alignment horizontal="center" vertical="center"/>
    </xf>
    <xf numFmtId="2" fontId="116" fillId="7" borderId="106" xfId="0" applyNumberFormat="1" applyFont="1" applyFill="1" applyBorder="1" applyAlignment="1" applyProtection="1">
      <alignment horizontal="center" vertical="center"/>
      <protection locked="0"/>
    </xf>
    <xf numFmtId="2" fontId="116" fillId="7" borderId="107" xfId="0" applyNumberFormat="1" applyFont="1" applyFill="1" applyBorder="1" applyAlignment="1" applyProtection="1">
      <alignment horizontal="center" vertical="center"/>
      <protection locked="0"/>
    </xf>
    <xf numFmtId="1" fontId="113" fillId="0" borderId="52" xfId="0" applyNumberFormat="1" applyFont="1" applyBorder="1" applyAlignment="1">
      <alignment horizontal="left"/>
    </xf>
    <xf numFmtId="1" fontId="113" fillId="0" borderId="93" xfId="0" applyNumberFormat="1" applyFont="1" applyBorder="1" applyAlignment="1">
      <alignment horizontal="left"/>
    </xf>
    <xf numFmtId="0" fontId="114" fillId="0" borderId="102" xfId="0" applyFont="1" applyBorder="1" applyAlignment="1">
      <alignment horizontal="left"/>
    </xf>
    <xf numFmtId="0" fontId="114" fillId="0" borderId="76" xfId="0" applyFont="1" applyBorder="1" applyAlignment="1">
      <alignment horizontal="left"/>
    </xf>
    <xf numFmtId="0" fontId="114" fillId="0" borderId="69" xfId="0" applyFont="1" applyBorder="1" applyAlignment="1">
      <alignment horizontal="left"/>
    </xf>
    <xf numFmtId="0" fontId="114" fillId="0" borderId="0" xfId="0" applyFont="1" applyBorder="1" applyAlignment="1">
      <alignment horizontal="left"/>
    </xf>
    <xf numFmtId="0" fontId="114" fillId="0" borderId="103" xfId="0" applyFont="1" applyBorder="1" applyAlignment="1">
      <alignment horizontal="left"/>
    </xf>
    <xf numFmtId="0" fontId="114" fillId="0" borderId="73" xfId="0" applyFont="1" applyBorder="1" applyAlignment="1">
      <alignment horizontal="left"/>
    </xf>
    <xf numFmtId="1" fontId="75" fillId="0" borderId="76" xfId="0" applyNumberFormat="1" applyFont="1" applyBorder="1" applyAlignment="1">
      <alignment horizontal="center"/>
    </xf>
    <xf numFmtId="1" fontId="75" fillId="0" borderId="0" xfId="0" applyNumberFormat="1" applyFont="1" applyBorder="1" applyAlignment="1">
      <alignment horizontal="center"/>
    </xf>
    <xf numFmtId="1" fontId="75" fillId="0" borderId="73" xfId="0" applyNumberFormat="1" applyFont="1" applyBorder="1" applyAlignment="1">
      <alignment horizontal="center"/>
    </xf>
    <xf numFmtId="0" fontId="75" fillId="0" borderId="99" xfId="0" applyFont="1" applyBorder="1" applyAlignment="1">
      <alignment horizontal="center" vertical="center"/>
    </xf>
    <xf numFmtId="0" fontId="75" fillId="0" borderId="71" xfId="0" applyFont="1" applyBorder="1" applyAlignment="1">
      <alignment horizontal="center" vertical="center"/>
    </xf>
    <xf numFmtId="0" fontId="75" fillId="0" borderId="100" xfId="0" applyFont="1" applyBorder="1" applyAlignment="1">
      <alignment horizontal="center" vertical="center"/>
    </xf>
    <xf numFmtId="0" fontId="75" fillId="0" borderId="69" xfId="0" applyFont="1" applyBorder="1" applyAlignment="1">
      <alignment horizontal="center" vertical="center"/>
    </xf>
    <xf numFmtId="0" fontId="75" fillId="0" borderId="0" xfId="0" applyFont="1" applyBorder="1" applyAlignment="1">
      <alignment horizontal="center" vertical="center"/>
    </xf>
    <xf numFmtId="0" fontId="75" fillId="0" borderId="52" xfId="0" applyFont="1" applyBorder="1" applyAlignment="1">
      <alignment horizontal="center" vertical="center"/>
    </xf>
    <xf numFmtId="0" fontId="75" fillId="0" borderId="101" xfId="0" applyFont="1" applyBorder="1" applyAlignment="1">
      <alignment horizontal="center" vertical="center"/>
    </xf>
    <xf numFmtId="0" fontId="75" fillId="0" borderId="70" xfId="0" applyFont="1" applyBorder="1" applyAlignment="1">
      <alignment horizontal="center" vertical="center"/>
    </xf>
    <xf numFmtId="0" fontId="75" fillId="0" borderId="91" xfId="0" applyFont="1" applyBorder="1" applyAlignment="1">
      <alignment horizontal="center" vertical="center"/>
    </xf>
    <xf numFmtId="0" fontId="70" fillId="12" borderId="0" xfId="0" applyFont="1" applyFill="1" applyBorder="1" applyAlignment="1" applyProtection="1">
      <alignment horizontal="center" vertical="center" wrapText="1"/>
    </xf>
    <xf numFmtId="2" fontId="70" fillId="12" borderId="0" xfId="0" applyNumberFormat="1" applyFont="1" applyFill="1" applyBorder="1" applyAlignment="1" applyProtection="1">
      <alignment horizontal="center" vertical="center"/>
    </xf>
    <xf numFmtId="1" fontId="113" fillId="0" borderId="76" xfId="0" applyNumberFormat="1" applyFont="1" applyBorder="1" applyAlignment="1">
      <alignment horizontal="right"/>
    </xf>
    <xf numFmtId="1" fontId="113" fillId="0" borderId="0" xfId="0" applyNumberFormat="1" applyFont="1" applyBorder="1" applyAlignment="1">
      <alignment horizontal="right"/>
    </xf>
    <xf numFmtId="1" fontId="113" fillId="0" borderId="73" xfId="0" applyNumberFormat="1" applyFont="1" applyBorder="1" applyAlignment="1">
      <alignment horizontal="right"/>
    </xf>
    <xf numFmtId="0" fontId="114" fillId="0" borderId="102" xfId="0" applyFont="1" applyBorder="1" applyAlignment="1">
      <alignment horizontal="left" wrapText="1"/>
    </xf>
    <xf numFmtId="0" fontId="67" fillId="12" borderId="108" xfId="1" applyFont="1" applyFill="1" applyBorder="1" applyAlignment="1" applyProtection="1">
      <alignment horizontal="center" vertical="center"/>
      <protection locked="0"/>
    </xf>
    <xf numFmtId="0" fontId="67" fillId="12" borderId="63" xfId="1" applyFont="1" applyFill="1" applyBorder="1" applyAlignment="1" applyProtection="1">
      <alignment horizontal="center" vertical="center"/>
      <protection locked="0"/>
    </xf>
    <xf numFmtId="0" fontId="117" fillId="12" borderId="0" xfId="0" applyFont="1" applyFill="1" applyBorder="1" applyAlignment="1">
      <alignment horizontal="right"/>
    </xf>
    <xf numFmtId="0" fontId="82" fillId="12" borderId="0" xfId="0" applyFont="1" applyFill="1" applyBorder="1" applyAlignment="1">
      <alignment horizontal="center" vertical="center" wrapText="1"/>
    </xf>
    <xf numFmtId="0" fontId="118" fillId="12" borderId="0" xfId="0" applyFont="1" applyFill="1" applyBorder="1" applyAlignment="1">
      <alignment horizontal="left" vertical="center" wrapText="1"/>
    </xf>
    <xf numFmtId="1" fontId="119" fillId="12" borderId="0" xfId="0" applyNumberFormat="1" applyFont="1" applyFill="1" applyBorder="1" applyAlignment="1">
      <alignment horizontal="right" vertical="center"/>
    </xf>
    <xf numFmtId="0" fontId="83" fillId="0" borderId="102" xfId="3" applyFont="1" applyFill="1" applyBorder="1" applyAlignment="1" applyProtection="1">
      <alignment horizontal="left" wrapText="1"/>
    </xf>
    <xf numFmtId="0" fontId="83" fillId="0" borderId="76" xfId="3" applyFont="1" applyFill="1" applyBorder="1" applyAlignment="1" applyProtection="1">
      <alignment horizontal="left" wrapText="1"/>
    </xf>
    <xf numFmtId="0" fontId="83" fillId="0" borderId="77" xfId="3" applyFont="1" applyFill="1" applyBorder="1" applyAlignment="1" applyProtection="1">
      <alignment horizontal="left" wrapText="1"/>
    </xf>
    <xf numFmtId="0" fontId="83" fillId="0" borderId="103" xfId="3" applyFont="1" applyFill="1" applyBorder="1" applyAlignment="1" applyProtection="1">
      <alignment horizontal="left" wrapText="1"/>
    </xf>
    <xf numFmtId="0" fontId="83" fillId="0" borderId="73" xfId="3" applyFont="1" applyFill="1" applyBorder="1" applyAlignment="1" applyProtection="1">
      <alignment horizontal="left" wrapText="1"/>
    </xf>
    <xf numFmtId="0" fontId="83" fillId="0" borderId="74" xfId="3" applyFont="1" applyFill="1" applyBorder="1" applyAlignment="1" applyProtection="1">
      <alignment horizontal="left" wrapText="1"/>
    </xf>
    <xf numFmtId="0" fontId="75" fillId="0" borderId="80" xfId="3" applyFont="1" applyFill="1" applyBorder="1" applyAlignment="1" applyProtection="1">
      <alignment horizontal="right"/>
    </xf>
    <xf numFmtId="0" fontId="75" fillId="0" borderId="92" xfId="3" applyFont="1" applyFill="1" applyBorder="1" applyAlignment="1" applyProtection="1">
      <alignment horizontal="right"/>
    </xf>
    <xf numFmtId="2" fontId="75" fillId="0" borderId="80" xfId="3" applyNumberFormat="1" applyFont="1" applyFill="1" applyBorder="1" applyAlignment="1" applyProtection="1">
      <alignment horizontal="right"/>
    </xf>
    <xf numFmtId="2" fontId="75" fillId="0" borderId="92" xfId="3" applyNumberFormat="1" applyFont="1" applyFill="1" applyBorder="1" applyAlignment="1" applyProtection="1">
      <alignment horizontal="right"/>
    </xf>
    <xf numFmtId="1" fontId="75" fillId="0" borderId="77" xfId="3" applyNumberFormat="1" applyFont="1" applyFill="1" applyBorder="1" applyAlignment="1" applyProtection="1">
      <alignment horizontal="left"/>
    </xf>
    <xf numFmtId="1" fontId="75" fillId="0" borderId="74" xfId="3" applyNumberFormat="1" applyFont="1" applyFill="1" applyBorder="1" applyAlignment="1" applyProtection="1">
      <alignment horizontal="left"/>
    </xf>
    <xf numFmtId="165" fontId="75" fillId="0" borderId="80" xfId="3" applyNumberFormat="1" applyFont="1" applyFill="1" applyBorder="1" applyAlignment="1" applyProtection="1">
      <alignment horizontal="right"/>
    </xf>
    <xf numFmtId="165" fontId="75" fillId="0" borderId="92" xfId="3" applyNumberFormat="1" applyFont="1" applyFill="1" applyBorder="1" applyAlignment="1" applyProtection="1">
      <alignment horizontal="right"/>
    </xf>
    <xf numFmtId="0" fontId="28" fillId="0" borderId="52" xfId="3" applyFont="1" applyBorder="1" applyAlignment="1" applyProtection="1">
      <alignment horizontal="center" vertical="center"/>
    </xf>
    <xf numFmtId="0" fontId="75" fillId="0" borderId="76" xfId="3" applyFont="1" applyFill="1" applyBorder="1" applyAlignment="1" applyProtection="1">
      <alignment horizontal="center" vertical="center"/>
    </xf>
    <xf numFmtId="0" fontId="75" fillId="0" borderId="77" xfId="3" applyFont="1" applyFill="1" applyBorder="1" applyAlignment="1" applyProtection="1">
      <alignment horizontal="center" vertical="center"/>
    </xf>
    <xf numFmtId="0" fontId="75" fillId="0" borderId="73" xfId="3" applyFont="1" applyFill="1" applyBorder="1" applyAlignment="1" applyProtection="1">
      <alignment horizontal="center" vertical="center"/>
    </xf>
    <xf numFmtId="0" fontId="75" fillId="0" borderId="74" xfId="3" applyFont="1" applyFill="1" applyBorder="1" applyAlignment="1" applyProtection="1">
      <alignment horizontal="center" vertical="center"/>
    </xf>
    <xf numFmtId="1" fontId="75" fillId="0" borderId="80" xfId="3" applyNumberFormat="1" applyFont="1" applyFill="1" applyBorder="1" applyAlignment="1" applyProtection="1">
      <alignment horizontal="right"/>
    </xf>
    <xf numFmtId="1" fontId="75" fillId="0" borderId="92" xfId="3" applyNumberFormat="1" applyFont="1" applyFill="1" applyBorder="1" applyAlignment="1" applyProtection="1">
      <alignment horizontal="right"/>
    </xf>
    <xf numFmtId="0" fontId="34" fillId="0" borderId="0" xfId="3" applyFont="1" applyFill="1" applyBorder="1" applyAlignment="1" applyProtection="1">
      <alignment horizontal="left" vertical="center" wrapText="1"/>
    </xf>
    <xf numFmtId="0" fontId="34" fillId="0" borderId="0" xfId="3" applyFont="1" applyFill="1" applyBorder="1" applyAlignment="1" applyProtection="1">
      <alignment horizontal="center" vertical="center"/>
    </xf>
    <xf numFmtId="0" fontId="30" fillId="0" borderId="0" xfId="3" applyFont="1" applyFill="1" applyBorder="1" applyAlignment="1" applyProtection="1">
      <alignment horizontal="center" vertical="center" wrapText="1"/>
    </xf>
    <xf numFmtId="0" fontId="37" fillId="0" borderId="0" xfId="3" applyFont="1" applyAlignment="1" applyProtection="1">
      <alignment horizontal="right" vertical="center"/>
    </xf>
    <xf numFmtId="0" fontId="122" fillId="0" borderId="0" xfId="3" applyFont="1" applyFill="1" applyBorder="1" applyAlignment="1" applyProtection="1">
      <alignment horizontal="center" vertical="center" wrapText="1"/>
    </xf>
    <xf numFmtId="2" fontId="75" fillId="0" borderId="116" xfId="3" applyNumberFormat="1" applyFont="1" applyFill="1" applyBorder="1" applyAlignment="1" applyProtection="1">
      <alignment horizontal="right"/>
    </xf>
    <xf numFmtId="0" fontId="121" fillId="0" borderId="0" xfId="3" applyFont="1" applyFill="1" applyBorder="1" applyAlignment="1" applyProtection="1">
      <alignment horizontal="center" vertical="center" wrapText="1"/>
    </xf>
    <xf numFmtId="0" fontId="34" fillId="0" borderId="0" xfId="3" applyFont="1" applyFill="1" applyBorder="1" applyAlignment="1" applyProtection="1">
      <alignment horizontal="left" vertical="center"/>
    </xf>
    <xf numFmtId="0" fontId="120" fillId="0" borderId="0" xfId="3" applyFont="1" applyFill="1" applyBorder="1" applyAlignment="1" applyProtection="1">
      <alignment horizontal="left" vertical="center"/>
    </xf>
    <xf numFmtId="0" fontId="33" fillId="0" borderId="0" xfId="3" applyFont="1" applyFill="1" applyBorder="1" applyAlignment="1" applyProtection="1">
      <alignment horizontal="center" vertical="center" textRotation="90" wrapText="1"/>
    </xf>
    <xf numFmtId="0" fontId="123" fillId="0" borderId="109" xfId="3" applyFont="1" applyFill="1" applyBorder="1" applyAlignment="1" applyProtection="1">
      <alignment horizontal="center" vertical="center"/>
    </xf>
    <xf numFmtId="0" fontId="123" fillId="0" borderId="71" xfId="3" applyFont="1" applyFill="1" applyBorder="1" applyAlignment="1" applyProtection="1">
      <alignment horizontal="center" vertical="center"/>
    </xf>
    <xf numFmtId="0" fontId="123" fillId="0" borderId="110" xfId="3" applyFont="1" applyFill="1" applyBorder="1" applyAlignment="1" applyProtection="1">
      <alignment horizontal="center" vertical="center"/>
    </xf>
    <xf numFmtId="0" fontId="123" fillId="0" borderId="111" xfId="3" applyFont="1" applyFill="1" applyBorder="1" applyAlignment="1" applyProtection="1">
      <alignment horizontal="center" vertical="center"/>
    </xf>
    <xf numFmtId="0" fontId="123" fillId="0" borderId="0" xfId="3" applyFont="1" applyFill="1" applyBorder="1" applyAlignment="1" applyProtection="1">
      <alignment horizontal="center" vertical="center"/>
    </xf>
    <xf numFmtId="0" fontId="123" fillId="0" borderId="112" xfId="3" applyFont="1" applyFill="1" applyBorder="1" applyAlignment="1" applyProtection="1">
      <alignment horizontal="center" vertical="center"/>
    </xf>
    <xf numFmtId="0" fontId="123" fillId="0" borderId="113" xfId="3" applyFont="1" applyFill="1" applyBorder="1" applyAlignment="1" applyProtection="1">
      <alignment horizontal="center" vertical="center"/>
    </xf>
    <xf numFmtId="0" fontId="123" fillId="0" borderId="100" xfId="3" applyFont="1" applyFill="1" applyBorder="1" applyAlignment="1" applyProtection="1">
      <alignment horizontal="center" vertical="center"/>
    </xf>
    <xf numFmtId="0" fontId="123" fillId="0" borderId="68" xfId="3" applyFont="1" applyFill="1" applyBorder="1" applyAlignment="1" applyProtection="1">
      <alignment horizontal="center" vertical="center"/>
    </xf>
    <xf numFmtId="0" fontId="69" fillId="12" borderId="69" xfId="3" applyFont="1" applyFill="1" applyBorder="1" applyAlignment="1" applyProtection="1">
      <alignment horizontal="center" vertical="center" wrapText="1"/>
    </xf>
    <xf numFmtId="0" fontId="69" fillId="12" borderId="0" xfId="3" applyFont="1" applyFill="1" applyBorder="1" applyAlignment="1" applyProtection="1">
      <alignment horizontal="center" vertical="center" wrapText="1"/>
    </xf>
    <xf numFmtId="0" fontId="69" fillId="12" borderId="114" xfId="3" applyFont="1" applyFill="1" applyBorder="1" applyAlignment="1" applyProtection="1">
      <alignment horizontal="center" vertical="center" wrapText="1"/>
    </xf>
    <xf numFmtId="0" fontId="69" fillId="12" borderId="112" xfId="3" applyFont="1" applyFill="1" applyBorder="1" applyAlignment="1" applyProtection="1">
      <alignment horizontal="center" vertical="center" wrapText="1"/>
    </xf>
    <xf numFmtId="4" fontId="104" fillId="0" borderId="0" xfId="3" applyNumberFormat="1" applyFont="1" applyAlignment="1" applyProtection="1">
      <alignment horizontal="center" vertical="center"/>
    </xf>
    <xf numFmtId="0" fontId="104" fillId="0" borderId="0" xfId="3" applyFont="1" applyAlignment="1" applyProtection="1">
      <alignment horizontal="center" vertical="center"/>
    </xf>
    <xf numFmtId="0" fontId="124" fillId="0" borderId="0" xfId="3" applyFont="1" applyFill="1" applyBorder="1" applyAlignment="1" applyProtection="1">
      <alignment horizontal="center" vertical="center" wrapText="1"/>
    </xf>
    <xf numFmtId="2" fontId="75" fillId="0" borderId="77" xfId="3" applyNumberFormat="1" applyFont="1" applyFill="1" applyBorder="1" applyAlignment="1" applyProtection="1">
      <alignment horizontal="left"/>
    </xf>
    <xf numFmtId="2" fontId="75" fillId="0" borderId="115" xfId="3" applyNumberFormat="1" applyFont="1" applyFill="1" applyBorder="1" applyAlignment="1" applyProtection="1">
      <alignment horizontal="left"/>
    </xf>
    <xf numFmtId="0" fontId="75" fillId="0" borderId="102" xfId="3" applyFont="1" applyFill="1" applyBorder="1" applyAlignment="1" applyProtection="1">
      <alignment horizontal="center" vertical="center"/>
    </xf>
    <xf numFmtId="0" fontId="75" fillId="0" borderId="103" xfId="3" applyFont="1" applyFill="1" applyBorder="1" applyAlignment="1" applyProtection="1">
      <alignment horizontal="center" vertical="center"/>
    </xf>
    <xf numFmtId="0" fontId="125" fillId="7" borderId="64" xfId="3" applyFont="1" applyFill="1" applyBorder="1" applyAlignment="1" applyProtection="1">
      <alignment horizontal="center" vertical="top"/>
      <protection locked="0"/>
    </xf>
    <xf numFmtId="0" fontId="125" fillId="7" borderId="112" xfId="3" applyFont="1" applyFill="1" applyBorder="1" applyAlignment="1" applyProtection="1">
      <alignment horizontal="center" vertical="top"/>
      <protection locked="0"/>
    </xf>
    <xf numFmtId="0" fontId="75" fillId="0" borderId="80" xfId="3" applyFont="1" applyFill="1" applyBorder="1" applyAlignment="1" applyProtection="1">
      <alignment horizontal="center" vertical="center"/>
    </xf>
    <xf numFmtId="0" fontId="75" fillId="0" borderId="92" xfId="3" applyFont="1" applyFill="1" applyBorder="1" applyAlignment="1" applyProtection="1">
      <alignment horizontal="center" vertical="center"/>
    </xf>
    <xf numFmtId="1" fontId="75" fillId="0" borderId="79" xfId="3" applyNumberFormat="1" applyFont="1" applyFill="1" applyBorder="1" applyAlignment="1" applyProtection="1">
      <alignment horizontal="left"/>
    </xf>
    <xf numFmtId="1" fontId="75" fillId="0" borderId="93" xfId="3" applyNumberFormat="1" applyFont="1" applyFill="1" applyBorder="1" applyAlignment="1" applyProtection="1">
      <alignment horizontal="left"/>
    </xf>
    <xf numFmtId="0" fontId="0" fillId="0" borderId="79" xfId="0" applyBorder="1"/>
    <xf numFmtId="0" fontId="0" fillId="0" borderId="92" xfId="0" applyBorder="1"/>
    <xf numFmtId="0" fontId="0" fillId="0" borderId="93" xfId="0" applyBorder="1"/>
    <xf numFmtId="2" fontId="75" fillId="0" borderId="74" xfId="3" applyNumberFormat="1" applyFont="1" applyFill="1" applyBorder="1" applyAlignment="1" applyProtection="1">
      <alignment horizontal="left"/>
    </xf>
    <xf numFmtId="0" fontId="69" fillId="12" borderId="0" xfId="3" applyFont="1" applyFill="1" applyBorder="1" applyAlignment="1" applyProtection="1">
      <alignment horizontal="left" vertical="center" wrapText="1"/>
    </xf>
    <xf numFmtId="0" fontId="123" fillId="0" borderId="99" xfId="3" applyFont="1" applyFill="1" applyBorder="1" applyAlignment="1" applyProtection="1">
      <alignment horizontal="center" vertical="center"/>
    </xf>
    <xf numFmtId="0" fontId="123" fillId="0" borderId="114" xfId="3" applyFont="1" applyFill="1" applyBorder="1" applyAlignment="1" applyProtection="1">
      <alignment horizontal="center" vertical="center"/>
    </xf>
    <xf numFmtId="0" fontId="75" fillId="0" borderId="77" xfId="3" applyFont="1" applyFill="1" applyBorder="1" applyAlignment="1" applyProtection="1">
      <alignment horizontal="center"/>
    </xf>
    <xf numFmtId="0" fontId="75" fillId="0" borderId="74" xfId="3" applyFont="1" applyFill="1" applyBorder="1" applyAlignment="1" applyProtection="1">
      <alignment horizontal="center"/>
    </xf>
    <xf numFmtId="1" fontId="75" fillId="0" borderId="77" xfId="3" applyNumberFormat="1" applyFont="1" applyFill="1" applyBorder="1" applyAlignment="1" applyProtection="1">
      <alignment horizontal="center"/>
    </xf>
    <xf numFmtId="1" fontId="75" fillId="0" borderId="74" xfId="3" applyNumberFormat="1" applyFont="1" applyFill="1" applyBorder="1" applyAlignment="1" applyProtection="1">
      <alignment horizontal="center"/>
    </xf>
    <xf numFmtId="0" fontId="77" fillId="0" borderId="69" xfId="3" applyFont="1" applyFill="1" applyBorder="1" applyAlignment="1" applyProtection="1">
      <alignment horizontal="center" vertical="top" wrapText="1"/>
    </xf>
    <xf numFmtId="0" fontId="77" fillId="0" borderId="0" xfId="3" applyFont="1" applyFill="1" applyBorder="1" applyAlignment="1" applyProtection="1">
      <alignment horizontal="center" vertical="top" wrapText="1"/>
    </xf>
    <xf numFmtId="0" fontId="77" fillId="0" borderId="52" xfId="3" applyFont="1" applyFill="1" applyBorder="1" applyAlignment="1" applyProtection="1">
      <alignment horizontal="center" vertical="top" wrapText="1"/>
    </xf>
    <xf numFmtId="0" fontId="77" fillId="0" borderId="103" xfId="3" applyFont="1" applyFill="1" applyBorder="1" applyAlignment="1" applyProtection="1">
      <alignment horizontal="center" vertical="top" wrapText="1"/>
    </xf>
    <xf numFmtId="0" fontId="77" fillId="0" borderId="73" xfId="3" applyFont="1" applyFill="1" applyBorder="1" applyAlignment="1" applyProtection="1">
      <alignment horizontal="center" vertical="top" wrapText="1"/>
    </xf>
    <xf numFmtId="0" fontId="77" fillId="0" borderId="93" xfId="3" applyFont="1" applyFill="1" applyBorder="1" applyAlignment="1" applyProtection="1">
      <alignment horizontal="center" vertical="top" wrapText="1"/>
    </xf>
    <xf numFmtId="0" fontId="75" fillId="0" borderId="80" xfId="3" applyFont="1" applyFill="1" applyBorder="1" applyAlignment="1" applyProtection="1">
      <alignment horizontal="center"/>
    </xf>
    <xf numFmtId="0" fontId="75" fillId="0" borderId="92" xfId="3" applyFont="1" applyFill="1" applyBorder="1" applyAlignment="1" applyProtection="1">
      <alignment horizontal="center"/>
    </xf>
    <xf numFmtId="0" fontId="75" fillId="0" borderId="77" xfId="3" applyFont="1" applyFill="1" applyBorder="1" applyAlignment="1" applyProtection="1">
      <alignment horizontal="left"/>
    </xf>
    <xf numFmtId="0" fontId="75" fillId="0" borderId="74" xfId="3" applyFont="1" applyFill="1" applyBorder="1" applyAlignment="1" applyProtection="1">
      <alignment horizontal="left"/>
    </xf>
    <xf numFmtId="2" fontId="75" fillId="0" borderId="80" xfId="3" applyNumberFormat="1" applyFont="1" applyFill="1" applyBorder="1" applyAlignment="1" applyProtection="1">
      <alignment horizontal="center"/>
    </xf>
    <xf numFmtId="2" fontId="75" fillId="0" borderId="92" xfId="3" applyNumberFormat="1" applyFont="1" applyFill="1" applyBorder="1" applyAlignment="1" applyProtection="1">
      <alignment horizontal="center"/>
    </xf>
    <xf numFmtId="1" fontId="75" fillId="0" borderId="116" xfId="3" applyNumberFormat="1" applyFont="1" applyFill="1" applyBorder="1" applyAlignment="1" applyProtection="1">
      <alignment horizontal="right"/>
    </xf>
    <xf numFmtId="1" fontId="75" fillId="0" borderId="91" xfId="3" applyNumberFormat="1" applyFont="1" applyFill="1" applyBorder="1" applyAlignment="1" applyProtection="1">
      <alignment horizontal="left"/>
    </xf>
    <xf numFmtId="1" fontId="78" fillId="0" borderId="0" xfId="3" applyNumberFormat="1" applyFont="1" applyFill="1" applyBorder="1" applyAlignment="1" applyProtection="1">
      <alignment horizontal="left" vertical="center" indent="1"/>
    </xf>
    <xf numFmtId="0" fontId="78" fillId="0" borderId="0" xfId="3" applyFont="1" applyFill="1" applyBorder="1" applyAlignment="1" applyProtection="1">
      <alignment horizontal="left" vertical="center" indent="2"/>
    </xf>
    <xf numFmtId="0" fontId="78" fillId="0" borderId="0" xfId="3" applyFont="1" applyFill="1" applyBorder="1" applyAlignment="1" applyProtection="1">
      <alignment horizontal="left" vertical="center" indent="1"/>
    </xf>
    <xf numFmtId="0" fontId="83" fillId="0" borderId="101" xfId="3" applyFont="1" applyFill="1" applyBorder="1" applyAlignment="1" applyProtection="1">
      <alignment horizontal="left" wrapText="1"/>
    </xf>
    <xf numFmtId="0" fontId="83" fillId="0" borderId="70" xfId="3" applyFont="1" applyFill="1" applyBorder="1" applyAlignment="1" applyProtection="1">
      <alignment horizontal="left" wrapText="1"/>
    </xf>
    <xf numFmtId="0" fontId="83" fillId="0" borderId="115" xfId="3" applyFont="1" applyFill="1" applyBorder="1" applyAlignment="1" applyProtection="1">
      <alignment horizontal="left" wrapText="1"/>
    </xf>
    <xf numFmtId="0" fontId="75" fillId="0" borderId="116" xfId="3" applyFont="1" applyFill="1" applyBorder="1" applyAlignment="1" applyProtection="1">
      <alignment horizontal="right"/>
    </xf>
    <xf numFmtId="1" fontId="75" fillId="0" borderId="115" xfId="3" applyNumberFormat="1" applyFont="1" applyFill="1" applyBorder="1" applyAlignment="1" applyProtection="1">
      <alignment horizontal="left"/>
    </xf>
    <xf numFmtId="165" fontId="75" fillId="0" borderId="116" xfId="3" applyNumberFormat="1" applyFont="1" applyFill="1" applyBorder="1" applyAlignment="1" applyProtection="1">
      <alignment horizontal="right"/>
    </xf>
    <xf numFmtId="0" fontId="74" fillId="0" borderId="0" xfId="3" applyFont="1" applyFill="1" applyBorder="1" applyAlignment="1" applyProtection="1">
      <alignment horizontal="left" vertical="center" indent="6"/>
    </xf>
    <xf numFmtId="0" fontId="74" fillId="0" borderId="0" xfId="3" applyFont="1" applyFill="1" applyBorder="1" applyAlignment="1" applyProtection="1">
      <alignment horizontal="center" vertical="center"/>
    </xf>
    <xf numFmtId="0" fontId="74" fillId="0" borderId="0" xfId="3" applyFont="1" applyFill="1" applyBorder="1" applyAlignment="1" applyProtection="1">
      <alignment horizontal="left" vertical="top"/>
    </xf>
    <xf numFmtId="0" fontId="126" fillId="0" borderId="0" xfId="3" applyFont="1" applyAlignment="1">
      <alignment horizontal="right" vertical="center"/>
    </xf>
    <xf numFmtId="1" fontId="78" fillId="0" borderId="0" xfId="3" applyNumberFormat="1" applyFont="1" applyFill="1" applyBorder="1" applyAlignment="1" applyProtection="1">
      <alignment horizontal="right" vertical="center" wrapText="1"/>
    </xf>
    <xf numFmtId="1" fontId="127" fillId="0" borderId="0" xfId="3" applyNumberFormat="1" applyFont="1" applyFill="1" applyBorder="1" applyAlignment="1" applyProtection="1">
      <alignment horizontal="left" indent="2"/>
    </xf>
    <xf numFmtId="0" fontId="42" fillId="0" borderId="11" xfId="3" applyFont="1" applyBorder="1" applyAlignment="1">
      <alignment horizontal="justify" vertical="top" wrapText="1"/>
    </xf>
    <xf numFmtId="0" fontId="42" fillId="0" borderId="10" xfId="3" applyFont="1" applyBorder="1" applyAlignment="1">
      <alignment horizontal="justify" vertical="top" wrapText="1"/>
    </xf>
    <xf numFmtId="0" fontId="42" fillId="0" borderId="31" xfId="3" applyFont="1" applyBorder="1" applyAlignment="1">
      <alignment horizontal="justify" vertical="top" wrapText="1"/>
    </xf>
    <xf numFmtId="0" fontId="44" fillId="0" borderId="19" xfId="3" applyFont="1" applyBorder="1" applyAlignment="1">
      <alignment horizontal="center" vertical="top" wrapText="1"/>
    </xf>
    <xf numFmtId="0" fontId="44" fillId="0" borderId="18" xfId="3" applyFont="1" applyBorder="1" applyAlignment="1">
      <alignment horizontal="center" vertical="top" wrapText="1"/>
    </xf>
    <xf numFmtId="0" fontId="44" fillId="0" borderId="17" xfId="3" applyFont="1" applyBorder="1" applyAlignment="1">
      <alignment horizontal="center" vertical="top" wrapText="1"/>
    </xf>
    <xf numFmtId="0" fontId="44" fillId="0" borderId="8" xfId="3" applyFont="1" applyBorder="1" applyAlignment="1">
      <alignment horizontal="center" vertical="top" wrapText="1"/>
    </xf>
    <xf numFmtId="0" fontId="44" fillId="0" borderId="0" xfId="3" applyFont="1" applyBorder="1" applyAlignment="1">
      <alignment horizontal="center" vertical="top" wrapText="1"/>
    </xf>
    <xf numFmtId="0" fontId="44" fillId="0" borderId="16" xfId="3" applyFont="1" applyBorder="1" applyAlignment="1">
      <alignment horizontal="center" vertical="top" wrapText="1"/>
    </xf>
    <xf numFmtId="0" fontId="24" fillId="0" borderId="15" xfId="3" applyBorder="1" applyAlignment="1">
      <alignment vertical="top" wrapText="1"/>
    </xf>
    <xf numFmtId="0" fontId="24" fillId="0" borderId="14" xfId="3" applyBorder="1" applyAlignment="1">
      <alignment vertical="top" wrapText="1"/>
    </xf>
    <xf numFmtId="0" fontId="24" fillId="0" borderId="13" xfId="3" applyBorder="1" applyAlignment="1">
      <alignment vertical="top" wrapText="1"/>
    </xf>
    <xf numFmtId="0" fontId="44" fillId="0" borderId="7" xfId="3" applyFont="1" applyBorder="1" applyAlignment="1">
      <alignment horizontal="justify" vertical="top" wrapText="1"/>
    </xf>
    <xf numFmtId="0" fontId="44" fillId="0" borderId="32" xfId="3" applyFont="1" applyBorder="1" applyAlignment="1">
      <alignment horizontal="justify" vertical="top" wrapText="1"/>
    </xf>
    <xf numFmtId="0" fontId="44" fillId="0" borderId="20" xfId="3" applyFont="1" applyBorder="1" applyAlignment="1">
      <alignment horizontal="center" vertical="top" wrapText="1"/>
    </xf>
    <xf numFmtId="0" fontId="44" fillId="0" borderId="32" xfId="3" applyFont="1" applyBorder="1" applyAlignment="1">
      <alignment horizontal="center" vertical="top" wrapText="1"/>
    </xf>
    <xf numFmtId="0" fontId="80" fillId="0" borderId="0" xfId="0" applyFont="1" applyFill="1" applyBorder="1" applyAlignment="1">
      <alignment horizontal="center"/>
    </xf>
    <xf numFmtId="2" fontId="75" fillId="0" borderId="80" xfId="0" applyNumberFormat="1" applyFont="1" applyBorder="1" applyAlignment="1">
      <alignment horizontal="right"/>
    </xf>
    <xf numFmtId="2" fontId="75" fillId="0" borderId="117" xfId="0" applyNumberFormat="1" applyFont="1" applyBorder="1" applyAlignment="1">
      <alignment horizontal="right"/>
    </xf>
    <xf numFmtId="2" fontId="75" fillId="0" borderId="92" xfId="0" applyNumberFormat="1" applyFont="1" applyBorder="1" applyAlignment="1">
      <alignment horizontal="right"/>
    </xf>
    <xf numFmtId="0" fontId="83" fillId="0" borderId="102" xfId="0" applyFont="1" applyBorder="1" applyAlignment="1">
      <alignment horizontal="left" wrapText="1"/>
    </xf>
    <xf numFmtId="0" fontId="83" fillId="0" borderId="76" xfId="0" applyFont="1" applyBorder="1" applyAlignment="1">
      <alignment horizontal="left"/>
    </xf>
    <xf numFmtId="0" fontId="83" fillId="0" borderId="77" xfId="0" applyFont="1" applyBorder="1" applyAlignment="1">
      <alignment horizontal="left"/>
    </xf>
    <xf numFmtId="0" fontId="83" fillId="0" borderId="69" xfId="0" applyFont="1" applyBorder="1" applyAlignment="1">
      <alignment horizontal="left"/>
    </xf>
    <xf numFmtId="0" fontId="83" fillId="0" borderId="0" xfId="0" applyFont="1" applyBorder="1" applyAlignment="1">
      <alignment horizontal="left"/>
    </xf>
    <xf numFmtId="0" fontId="83" fillId="0" borderId="72" xfId="0" applyFont="1" applyBorder="1" applyAlignment="1">
      <alignment horizontal="left"/>
    </xf>
    <xf numFmtId="0" fontId="83" fillId="0" borderId="103" xfId="0" applyFont="1" applyBorder="1" applyAlignment="1">
      <alignment horizontal="left"/>
    </xf>
    <xf numFmtId="0" fontId="83" fillId="0" borderId="73" xfId="0" applyFont="1" applyBorder="1" applyAlignment="1">
      <alignment horizontal="left"/>
    </xf>
    <xf numFmtId="0" fontId="83" fillId="0" borderId="74" xfId="0" applyFont="1" applyBorder="1" applyAlignment="1">
      <alignment horizontal="left"/>
    </xf>
    <xf numFmtId="0" fontId="97" fillId="0" borderId="79" xfId="0" applyFont="1" applyBorder="1" applyAlignment="1">
      <alignment horizontal="left"/>
    </xf>
    <xf numFmtId="0" fontId="97" fillId="0" borderId="52" xfId="0" applyFont="1" applyBorder="1" applyAlignment="1">
      <alignment horizontal="left"/>
    </xf>
    <xf numFmtId="0" fontId="83" fillId="7" borderId="102" xfId="0" applyFont="1" applyFill="1" applyBorder="1" applyAlignment="1" applyProtection="1">
      <alignment horizontal="left"/>
      <protection locked="0"/>
    </xf>
    <xf numFmtId="0" fontId="83" fillId="7" borderId="76" xfId="0" applyFont="1" applyFill="1" applyBorder="1" applyAlignment="1" applyProtection="1">
      <alignment horizontal="left"/>
      <protection locked="0"/>
    </xf>
    <xf numFmtId="0" fontId="83" fillId="7" borderId="77" xfId="0" applyFont="1" applyFill="1" applyBorder="1" applyAlignment="1" applyProtection="1">
      <alignment horizontal="left"/>
      <protection locked="0"/>
    </xf>
    <xf numFmtId="0" fontId="83" fillId="7" borderId="69" xfId="0" applyFont="1" applyFill="1" applyBorder="1" applyAlignment="1" applyProtection="1">
      <alignment horizontal="left"/>
      <protection locked="0"/>
    </xf>
    <xf numFmtId="0" fontId="83" fillId="7" borderId="0" xfId="0" applyFont="1" applyFill="1" applyBorder="1" applyAlignment="1" applyProtection="1">
      <alignment horizontal="left"/>
      <protection locked="0"/>
    </xf>
    <xf numFmtId="0" fontId="83" fillId="7" borderId="72" xfId="0" applyFont="1" applyFill="1" applyBorder="1" applyAlignment="1" applyProtection="1">
      <alignment horizontal="left"/>
      <protection locked="0"/>
    </xf>
    <xf numFmtId="1" fontId="75" fillId="7" borderId="80" xfId="0" applyNumberFormat="1" applyFont="1" applyFill="1" applyBorder="1" applyAlignment="1" applyProtection="1">
      <alignment horizontal="right"/>
      <protection locked="0"/>
    </xf>
    <xf numFmtId="1" fontId="75" fillId="7" borderId="92" xfId="0" applyNumberFormat="1" applyFont="1" applyFill="1" applyBorder="1" applyAlignment="1" applyProtection="1">
      <alignment horizontal="right"/>
      <protection locked="0"/>
    </xf>
    <xf numFmtId="0" fontId="97" fillId="7" borderId="77" xfId="0" applyFont="1" applyFill="1" applyBorder="1" applyAlignment="1" applyProtection="1">
      <alignment horizontal="left"/>
      <protection locked="0"/>
    </xf>
    <xf numFmtId="0" fontId="97" fillId="7" borderId="72" xfId="0" applyFont="1" applyFill="1" applyBorder="1" applyAlignment="1" applyProtection="1">
      <alignment horizontal="left"/>
      <protection locked="0"/>
    </xf>
    <xf numFmtId="0" fontId="75" fillId="0" borderId="80" xfId="0" applyFont="1" applyBorder="1" applyAlignment="1">
      <alignment horizontal="right"/>
    </xf>
    <xf numFmtId="0" fontId="75" fillId="0" borderId="117" xfId="0" applyFont="1" applyBorder="1" applyAlignment="1">
      <alignment horizontal="right"/>
    </xf>
    <xf numFmtId="0" fontId="97" fillId="7" borderId="77" xfId="0" applyFont="1" applyFill="1" applyBorder="1" applyAlignment="1">
      <alignment horizontal="left"/>
    </xf>
    <xf numFmtId="0" fontId="97" fillId="7" borderId="72" xfId="0" applyFont="1" applyFill="1" applyBorder="1" applyAlignment="1">
      <alignment horizontal="left"/>
    </xf>
    <xf numFmtId="0" fontId="75" fillId="7" borderId="80" xfId="0" applyFont="1" applyFill="1" applyBorder="1" applyAlignment="1" applyProtection="1">
      <alignment horizontal="right"/>
      <protection locked="0"/>
    </xf>
    <xf numFmtId="0" fontId="75" fillId="7" borderId="117" xfId="0" applyFont="1" applyFill="1" applyBorder="1" applyAlignment="1" applyProtection="1">
      <alignment horizontal="right"/>
      <protection locked="0"/>
    </xf>
    <xf numFmtId="0" fontId="83" fillId="0" borderId="102" xfId="0" applyFont="1" applyFill="1" applyBorder="1" applyAlignment="1" applyProtection="1">
      <alignment horizontal="left"/>
    </xf>
    <xf numFmtId="0" fontId="83" fillId="0" borderId="76" xfId="0" applyFont="1" applyFill="1" applyBorder="1" applyAlignment="1" applyProtection="1">
      <alignment horizontal="left"/>
    </xf>
    <xf numFmtId="0" fontId="83" fillId="0" borderId="77" xfId="0" applyFont="1" applyFill="1" applyBorder="1" applyAlignment="1" applyProtection="1">
      <alignment horizontal="left"/>
    </xf>
    <xf numFmtId="0" fontId="83" fillId="0" borderId="69" xfId="0" applyFont="1" applyFill="1" applyBorder="1" applyAlignment="1" applyProtection="1">
      <alignment horizontal="left"/>
    </xf>
    <xf numFmtId="0" fontId="83" fillId="0" borderId="0" xfId="0" applyFont="1" applyFill="1" applyBorder="1" applyAlignment="1" applyProtection="1">
      <alignment horizontal="left"/>
    </xf>
    <xf numFmtId="0" fontId="83" fillId="0" borderId="72" xfId="0" applyFont="1" applyFill="1" applyBorder="1" applyAlignment="1" applyProtection="1">
      <alignment horizontal="left"/>
    </xf>
    <xf numFmtId="0" fontId="97" fillId="7" borderId="77" xfId="0" applyFont="1" applyFill="1" applyBorder="1" applyAlignment="1" applyProtection="1">
      <alignment horizontal="left"/>
    </xf>
    <xf numFmtId="0" fontId="97" fillId="7" borderId="72" xfId="0" applyFont="1" applyFill="1" applyBorder="1" applyAlignment="1" applyProtection="1">
      <alignment horizontal="left"/>
    </xf>
    <xf numFmtId="0" fontId="83" fillId="0" borderId="102" xfId="0" applyFont="1" applyBorder="1" applyAlignment="1">
      <alignment horizontal="left"/>
    </xf>
    <xf numFmtId="0" fontId="82" fillId="12" borderId="118" xfId="0" applyFont="1" applyFill="1" applyBorder="1" applyAlignment="1">
      <alignment horizontal="left" vertical="center"/>
    </xf>
    <xf numFmtId="0" fontId="82" fillId="12" borderId="52" xfId="0" applyFont="1" applyFill="1" applyBorder="1" applyAlignment="1">
      <alignment horizontal="left" vertical="center"/>
    </xf>
    <xf numFmtId="0" fontId="82" fillId="12" borderId="93" xfId="0" applyFont="1" applyFill="1" applyBorder="1" applyAlignment="1">
      <alignment horizontal="left" vertical="center"/>
    </xf>
    <xf numFmtId="0" fontId="97" fillId="7" borderId="74" xfId="0" applyFont="1" applyFill="1" applyBorder="1" applyAlignment="1">
      <alignment horizontal="left"/>
    </xf>
    <xf numFmtId="0" fontId="75" fillId="0" borderId="92" xfId="0" applyFont="1" applyBorder="1" applyAlignment="1">
      <alignment horizontal="right"/>
    </xf>
    <xf numFmtId="1" fontId="75" fillId="0" borderId="117" xfId="0" applyNumberFormat="1" applyFont="1" applyBorder="1" applyAlignment="1">
      <alignment horizontal="right"/>
    </xf>
    <xf numFmtId="1" fontId="75" fillId="0" borderId="80" xfId="0" applyNumberFormat="1" applyFont="1" applyBorder="1" applyAlignment="1">
      <alignment horizontal="right"/>
    </xf>
    <xf numFmtId="1" fontId="75" fillId="0" borderId="92" xfId="0" applyNumberFormat="1" applyFont="1" applyBorder="1" applyAlignment="1">
      <alignment horizontal="right"/>
    </xf>
    <xf numFmtId="0" fontId="97" fillId="0" borderId="77" xfId="0" applyFont="1" applyBorder="1" applyAlignment="1">
      <alignment horizontal="left"/>
    </xf>
    <xf numFmtId="0" fontId="97" fillId="0" borderId="72" xfId="0" applyFont="1" applyBorder="1" applyAlignment="1">
      <alignment horizontal="left"/>
    </xf>
    <xf numFmtId="0" fontId="97" fillId="0" borderId="74" xfId="0" applyFont="1" applyBorder="1" applyAlignment="1">
      <alignment horizontal="left"/>
    </xf>
    <xf numFmtId="0" fontId="75" fillId="7" borderId="92" xfId="0" applyFont="1" applyFill="1" applyBorder="1" applyAlignment="1" applyProtection="1">
      <alignment horizontal="right"/>
      <protection locked="0"/>
    </xf>
    <xf numFmtId="0" fontId="97" fillId="0" borderId="93" xfId="0" applyFont="1" applyBorder="1" applyAlignment="1">
      <alignment horizontal="left"/>
    </xf>
    <xf numFmtId="1" fontId="82" fillId="12" borderId="55" xfId="0" applyNumberFormat="1" applyFont="1" applyFill="1" applyBorder="1" applyAlignment="1">
      <alignment horizontal="center" vertical="center"/>
    </xf>
    <xf numFmtId="1" fontId="82" fillId="12" borderId="0" xfId="0" applyNumberFormat="1" applyFont="1" applyFill="1" applyBorder="1" applyAlignment="1">
      <alignment horizontal="center" vertical="center"/>
    </xf>
    <xf numFmtId="1" fontId="82" fillId="12" borderId="73" xfId="0" applyNumberFormat="1" applyFont="1" applyFill="1" applyBorder="1" applyAlignment="1">
      <alignment horizontal="center" vertical="center"/>
    </xf>
    <xf numFmtId="0" fontId="75" fillId="13" borderId="80" xfId="0" applyFont="1" applyFill="1" applyBorder="1" applyAlignment="1" applyProtection="1">
      <alignment horizontal="right"/>
    </xf>
    <xf numFmtId="0" fontId="75" fillId="13" borderId="117" xfId="0" applyFont="1" applyFill="1" applyBorder="1" applyAlignment="1" applyProtection="1">
      <alignment horizontal="right"/>
    </xf>
    <xf numFmtId="0" fontId="75" fillId="13" borderId="92" xfId="0" applyFont="1" applyFill="1" applyBorder="1" applyAlignment="1" applyProtection="1">
      <alignment horizontal="right"/>
    </xf>
    <xf numFmtId="0" fontId="118" fillId="12" borderId="55" xfId="0" applyFont="1" applyFill="1" applyBorder="1" applyAlignment="1">
      <alignment horizontal="center" vertical="center"/>
    </xf>
    <xf numFmtId="0" fontId="118" fillId="12" borderId="0" xfId="0" applyFont="1" applyFill="1" applyBorder="1" applyAlignment="1">
      <alignment horizontal="center" vertical="center"/>
    </xf>
    <xf numFmtId="0" fontId="118" fillId="12" borderId="73" xfId="0" applyFont="1" applyFill="1" applyBorder="1" applyAlignment="1">
      <alignment horizontal="center" vertical="center"/>
    </xf>
    <xf numFmtId="0" fontId="83" fillId="7" borderId="103" xfId="0" applyFont="1" applyFill="1" applyBorder="1" applyAlignment="1" applyProtection="1">
      <alignment horizontal="left"/>
      <protection locked="0"/>
    </xf>
    <xf numFmtId="0" fontId="83" fillId="7" borderId="73" xfId="0" applyFont="1" applyFill="1" applyBorder="1" applyAlignment="1" applyProtection="1">
      <alignment horizontal="left"/>
      <protection locked="0"/>
    </xf>
    <xf numFmtId="0" fontId="83" fillId="7" borderId="74" xfId="0" applyFont="1" applyFill="1" applyBorder="1" applyAlignment="1" applyProtection="1">
      <alignment horizontal="left"/>
      <protection locked="0"/>
    </xf>
    <xf numFmtId="0" fontId="97" fillId="7" borderId="74" xfId="0" applyFont="1" applyFill="1" applyBorder="1" applyAlignment="1" applyProtection="1">
      <alignment horizontal="left"/>
      <protection locked="0"/>
    </xf>
    <xf numFmtId="0" fontId="82" fillId="12" borderId="0" xfId="0" applyFont="1" applyFill="1" applyBorder="1" applyAlignment="1">
      <alignment horizontal="left" vertical="center"/>
    </xf>
    <xf numFmtId="0" fontId="82" fillId="12" borderId="70" xfId="0" applyFont="1" applyFill="1" applyBorder="1" applyAlignment="1">
      <alignment horizontal="left" vertical="center"/>
    </xf>
    <xf numFmtId="0" fontId="118" fillId="12" borderId="119" xfId="0" applyFont="1" applyFill="1" applyBorder="1" applyAlignment="1">
      <alignment horizontal="center" vertical="center"/>
    </xf>
    <xf numFmtId="0" fontId="0" fillId="0" borderId="55" xfId="0" applyBorder="1"/>
    <xf numFmtId="0" fontId="0" fillId="0" borderId="118" xfId="0" applyBorder="1"/>
    <xf numFmtId="0" fontId="0" fillId="0" borderId="116" xfId="0" applyBorder="1"/>
    <xf numFmtId="0" fontId="0" fillId="0" borderId="70" xfId="0" applyBorder="1"/>
    <xf numFmtId="0" fontId="0" fillId="0" borderId="91" xfId="0" applyBorder="1"/>
    <xf numFmtId="0" fontId="0" fillId="0" borderId="71" xfId="0" applyBorder="1"/>
    <xf numFmtId="0" fontId="0" fillId="0" borderId="100" xfId="0" applyBorder="1"/>
    <xf numFmtId="0" fontId="0" fillId="0" borderId="69" xfId="0" applyBorder="1"/>
    <xf numFmtId="0" fontId="0" fillId="0" borderId="0" xfId="0" applyBorder="1"/>
    <xf numFmtId="0" fontId="0" fillId="0" borderId="52" xfId="0" applyBorder="1"/>
    <xf numFmtId="0" fontId="0" fillId="0" borderId="101" xfId="0" applyBorder="1"/>
    <xf numFmtId="0" fontId="83" fillId="0" borderId="76" xfId="0" applyFont="1" applyBorder="1" applyAlignment="1">
      <alignment horizontal="left" wrapText="1"/>
    </xf>
    <xf numFmtId="0" fontId="83" fillId="0" borderId="77" xfId="0" applyFont="1" applyBorder="1" applyAlignment="1">
      <alignment horizontal="left" wrapText="1"/>
    </xf>
    <xf numFmtId="0" fontId="83" fillId="0" borderId="69" xfId="0" applyFont="1" applyBorder="1" applyAlignment="1">
      <alignment horizontal="left" wrapText="1"/>
    </xf>
    <xf numFmtId="0" fontId="83" fillId="0" borderId="0" xfId="0" applyFont="1" applyBorder="1" applyAlignment="1">
      <alignment horizontal="left" wrapText="1"/>
    </xf>
    <xf numFmtId="0" fontId="83" fillId="0" borderId="72" xfId="0" applyFont="1" applyBorder="1" applyAlignment="1">
      <alignment horizontal="left" wrapText="1"/>
    </xf>
    <xf numFmtId="0" fontId="83" fillId="0" borderId="103" xfId="0" applyFont="1" applyBorder="1" applyAlignment="1">
      <alignment horizontal="left" wrapText="1"/>
    </xf>
    <xf numFmtId="0" fontId="83" fillId="0" borderId="73" xfId="0" applyFont="1" applyBorder="1" applyAlignment="1">
      <alignment horizontal="left" wrapText="1"/>
    </xf>
    <xf numFmtId="0" fontId="83" fillId="0" borderId="74" xfId="0" applyFont="1" applyBorder="1" applyAlignment="1">
      <alignment horizontal="left" wrapText="1"/>
    </xf>
    <xf numFmtId="166" fontId="75" fillId="0" borderId="80" xfId="0" applyNumberFormat="1" applyFont="1" applyBorder="1" applyAlignment="1">
      <alignment horizontal="right"/>
    </xf>
    <xf numFmtId="0" fontId="0" fillId="0" borderId="117" xfId="0" applyBorder="1"/>
    <xf numFmtId="166" fontId="75" fillId="0" borderId="117" xfId="0" applyNumberFormat="1" applyFont="1" applyBorder="1" applyAlignment="1">
      <alignment horizontal="right"/>
    </xf>
    <xf numFmtId="166" fontId="75" fillId="0" borderId="92" xfId="0" applyNumberFormat="1" applyFont="1" applyBorder="1" applyAlignment="1">
      <alignment horizontal="right"/>
    </xf>
    <xf numFmtId="0" fontId="83" fillId="0" borderId="99" xfId="0" applyFont="1" applyBorder="1" applyAlignment="1">
      <alignment horizontal="left"/>
    </xf>
    <xf numFmtId="0" fontId="83" fillId="0" borderId="71" xfId="0" applyFont="1" applyBorder="1" applyAlignment="1">
      <alignment horizontal="left"/>
    </xf>
    <xf numFmtId="0" fontId="75" fillId="0" borderId="71" xfId="0" applyFont="1" applyBorder="1" applyAlignment="1">
      <alignment horizontal="right"/>
    </xf>
    <xf numFmtId="0" fontId="75" fillId="0" borderId="0" xfId="0" applyFont="1" applyBorder="1" applyAlignment="1">
      <alignment horizontal="right"/>
    </xf>
    <xf numFmtId="0" fontId="75" fillId="0" borderId="73" xfId="0" applyFont="1" applyBorder="1" applyAlignment="1">
      <alignment horizontal="right"/>
    </xf>
    <xf numFmtId="0" fontId="80" fillId="0" borderId="71" xfId="0" applyFont="1" applyBorder="1" applyAlignment="1">
      <alignment horizontal="left"/>
    </xf>
    <xf numFmtId="0" fontId="80" fillId="0" borderId="0" xfId="0" applyFont="1" applyBorder="1" applyAlignment="1">
      <alignment horizontal="left"/>
    </xf>
    <xf numFmtId="0" fontId="80" fillId="0" borderId="73" xfId="0" applyFont="1" applyBorder="1" applyAlignment="1">
      <alignment horizontal="left"/>
    </xf>
    <xf numFmtId="9" fontId="83" fillId="0" borderId="102" xfId="5" applyFont="1" applyBorder="1" applyAlignment="1">
      <alignment horizontal="left"/>
    </xf>
    <xf numFmtId="9" fontId="83" fillId="0" borderId="76" xfId="5" applyFont="1" applyBorder="1" applyAlignment="1">
      <alignment horizontal="left"/>
    </xf>
    <xf numFmtId="9" fontId="83" fillId="0" borderId="69" xfId="5" applyFont="1" applyBorder="1" applyAlignment="1">
      <alignment horizontal="left"/>
    </xf>
    <xf numFmtId="9" fontId="83" fillId="0" borderId="0" xfId="5" applyFont="1" applyBorder="1" applyAlignment="1">
      <alignment horizontal="left"/>
    </xf>
    <xf numFmtId="9" fontId="83" fillId="0" borderId="103" xfId="5" applyFont="1" applyBorder="1" applyAlignment="1">
      <alignment horizontal="left"/>
    </xf>
    <xf numFmtId="9" fontId="83" fillId="0" borderId="73" xfId="5" applyFont="1" applyBorder="1" applyAlignment="1">
      <alignment horizontal="left"/>
    </xf>
    <xf numFmtId="0" fontId="75" fillId="0" borderId="76" xfId="0" applyFont="1" applyBorder="1" applyAlignment="1">
      <alignment horizontal="right"/>
    </xf>
    <xf numFmtId="0" fontId="80" fillId="0" borderId="76" xfId="0" applyFont="1" applyBorder="1" applyAlignment="1">
      <alignment horizontal="left"/>
    </xf>
    <xf numFmtId="1" fontId="75" fillId="7" borderId="117" xfId="0" applyNumberFormat="1" applyFont="1" applyFill="1" applyBorder="1" applyAlignment="1" applyProtection="1">
      <alignment horizontal="right"/>
      <protection locked="0"/>
    </xf>
    <xf numFmtId="1" fontId="68" fillId="12" borderId="0" xfId="0" applyNumberFormat="1" applyFont="1" applyFill="1" applyBorder="1" applyAlignment="1">
      <alignment horizontal="right" vertical="center"/>
    </xf>
    <xf numFmtId="1" fontId="68" fillId="12" borderId="70" xfId="0" applyNumberFormat="1" applyFont="1" applyFill="1" applyBorder="1" applyAlignment="1">
      <alignment horizontal="right" vertical="center"/>
    </xf>
    <xf numFmtId="0" fontId="129" fillId="12" borderId="102" xfId="0" applyFont="1" applyFill="1" applyBorder="1" applyAlignment="1">
      <alignment horizontal="left" vertical="center" wrapText="1"/>
    </xf>
    <xf numFmtId="0" fontId="129" fillId="12" borderId="76" xfId="0" applyFont="1" applyFill="1" applyBorder="1" applyAlignment="1">
      <alignment horizontal="left" vertical="center" wrapText="1"/>
    </xf>
    <xf numFmtId="0" fontId="129" fillId="12" borderId="69" xfId="0" applyFont="1" applyFill="1" applyBorder="1" applyAlignment="1">
      <alignment horizontal="left" vertical="center" wrapText="1"/>
    </xf>
    <xf numFmtId="0" fontId="129" fillId="12" borderId="0" xfId="0" applyFont="1" applyFill="1" applyBorder="1" applyAlignment="1">
      <alignment horizontal="left" vertical="center" wrapText="1"/>
    </xf>
    <xf numFmtId="0" fontId="129" fillId="12" borderId="101" xfId="0" applyFont="1" applyFill="1" applyBorder="1" applyAlignment="1">
      <alignment horizontal="left" vertical="center" wrapText="1"/>
    </xf>
    <xf numFmtId="0" fontId="129" fillId="12" borderId="70" xfId="0" applyFont="1" applyFill="1" applyBorder="1" applyAlignment="1">
      <alignment horizontal="left" vertical="center" wrapText="1"/>
    </xf>
    <xf numFmtId="0" fontId="97" fillId="0" borderId="0" xfId="0" applyFont="1" applyBorder="1" applyAlignment="1">
      <alignment horizontal="left" vertical="center"/>
    </xf>
    <xf numFmtId="0" fontId="68" fillId="12" borderId="76" xfId="0" applyFont="1" applyFill="1" applyBorder="1" applyAlignment="1">
      <alignment horizontal="right" vertical="center"/>
    </xf>
    <xf numFmtId="0" fontId="68" fillId="12" borderId="0" xfId="0" applyFont="1" applyFill="1" applyBorder="1" applyAlignment="1">
      <alignment horizontal="right" vertical="center"/>
    </xf>
    <xf numFmtId="0" fontId="68" fillId="12" borderId="70" xfId="0" applyFont="1" applyFill="1" applyBorder="1" applyAlignment="1">
      <alignment horizontal="right" vertical="center"/>
    </xf>
    <xf numFmtId="0" fontId="82" fillId="12" borderId="76" xfId="0" applyFont="1" applyFill="1" applyBorder="1" applyAlignment="1">
      <alignment horizontal="left" vertical="center"/>
    </xf>
    <xf numFmtId="0" fontId="118" fillId="12" borderId="118" xfId="0" applyFont="1" applyFill="1" applyBorder="1" applyAlignment="1">
      <alignment horizontal="center" vertical="center"/>
    </xf>
    <xf numFmtId="0" fontId="118" fillId="12" borderId="52" xfId="0" applyFont="1" applyFill="1" applyBorder="1" applyAlignment="1">
      <alignment horizontal="center" vertical="center"/>
    </xf>
    <xf numFmtId="0" fontId="118" fillId="12" borderId="93" xfId="0" applyFont="1" applyFill="1" applyBorder="1" applyAlignment="1">
      <alignment horizontal="center" vertical="center"/>
    </xf>
    <xf numFmtId="0" fontId="82" fillId="12" borderId="91" xfId="0" applyFont="1" applyFill="1" applyBorder="1" applyAlignment="1">
      <alignment horizontal="left" vertical="center"/>
    </xf>
    <xf numFmtId="0" fontId="84" fillId="0" borderId="71" xfId="0" applyFont="1" applyBorder="1" applyAlignment="1">
      <alignment horizontal="center"/>
    </xf>
    <xf numFmtId="0" fontId="84" fillId="0" borderId="0" xfId="0" applyFont="1" applyAlignment="1">
      <alignment horizontal="center"/>
    </xf>
    <xf numFmtId="20" fontId="84" fillId="0" borderId="0" xfId="0" applyNumberFormat="1" applyFont="1" applyAlignment="1">
      <alignment horizontal="center"/>
    </xf>
    <xf numFmtId="1" fontId="128" fillId="13" borderId="71" xfId="0" applyNumberFormat="1" applyFont="1" applyFill="1" applyBorder="1" applyAlignment="1" applyProtection="1">
      <alignment horizontal="left"/>
    </xf>
    <xf numFmtId="1" fontId="128" fillId="13" borderId="0" xfId="0" applyNumberFormat="1" applyFont="1" applyFill="1" applyBorder="1" applyAlignment="1" applyProtection="1">
      <alignment horizontal="left"/>
    </xf>
    <xf numFmtId="0" fontId="70" fillId="12" borderId="69" xfId="0" applyFont="1" applyFill="1" applyBorder="1" applyAlignment="1">
      <alignment horizontal="left" vertical="center"/>
    </xf>
    <xf numFmtId="0" fontId="70" fillId="12" borderId="0" xfId="0" applyFont="1" applyFill="1" applyBorder="1" applyAlignment="1">
      <alignment horizontal="left" vertical="center"/>
    </xf>
    <xf numFmtId="0" fontId="70" fillId="12" borderId="72" xfId="0" applyFont="1" applyFill="1" applyBorder="1" applyAlignment="1">
      <alignment horizontal="left" vertical="center"/>
    </xf>
    <xf numFmtId="0" fontId="70" fillId="12" borderId="103" xfId="0" applyFont="1" applyFill="1" applyBorder="1" applyAlignment="1">
      <alignment horizontal="left" vertical="center"/>
    </xf>
    <xf numFmtId="0" fontId="70" fillId="12" borderId="73" xfId="0" applyFont="1" applyFill="1" applyBorder="1" applyAlignment="1">
      <alignment horizontal="left" vertical="center"/>
    </xf>
    <xf numFmtId="0" fontId="70" fillId="12" borderId="74" xfId="0" applyFont="1" applyFill="1" applyBorder="1" applyAlignment="1">
      <alignment horizontal="left" vertical="center"/>
    </xf>
    <xf numFmtId="166" fontId="68" fillId="12" borderId="80" xfId="0" applyNumberFormat="1" applyFont="1" applyFill="1" applyBorder="1" applyAlignment="1">
      <alignment horizontal="left" vertical="center"/>
    </xf>
    <xf numFmtId="166" fontId="68" fillId="12" borderId="117" xfId="0" applyNumberFormat="1" applyFont="1" applyFill="1" applyBorder="1" applyAlignment="1">
      <alignment horizontal="left" vertical="center"/>
    </xf>
    <xf numFmtId="166" fontId="68" fillId="12" borderId="92" xfId="0" applyNumberFormat="1" applyFont="1" applyFill="1" applyBorder="1" applyAlignment="1">
      <alignment horizontal="left" vertical="center"/>
    </xf>
    <xf numFmtId="0" fontId="130" fillId="12" borderId="77" xfId="0" applyFont="1" applyFill="1" applyBorder="1" applyAlignment="1">
      <alignment horizontal="left" vertical="center"/>
    </xf>
    <xf numFmtId="0" fontId="130" fillId="12" borderId="72" xfId="0" applyFont="1" applyFill="1" applyBorder="1" applyAlignment="1">
      <alignment horizontal="left" vertical="center"/>
    </xf>
    <xf numFmtId="0" fontId="130" fillId="12" borderId="74" xfId="0" applyFont="1" applyFill="1" applyBorder="1" applyAlignment="1">
      <alignment horizontal="left" vertical="center"/>
    </xf>
    <xf numFmtId="0" fontId="68" fillId="12" borderId="80" xfId="0" applyFont="1" applyFill="1" applyBorder="1" applyAlignment="1" applyProtection="1">
      <alignment horizontal="right" vertical="center"/>
      <protection locked="0"/>
    </xf>
    <xf numFmtId="0" fontId="68" fillId="12" borderId="117" xfId="0" applyFont="1" applyFill="1" applyBorder="1" applyAlignment="1" applyProtection="1">
      <alignment horizontal="right" vertical="center"/>
      <protection locked="0"/>
    </xf>
    <xf numFmtId="0" fontId="68" fillId="12" borderId="92" xfId="0" applyFont="1" applyFill="1" applyBorder="1" applyAlignment="1" applyProtection="1">
      <alignment horizontal="right" vertical="center"/>
      <protection locked="0"/>
    </xf>
    <xf numFmtId="0" fontId="68" fillId="12" borderId="80" xfId="0" applyFont="1" applyFill="1" applyBorder="1" applyAlignment="1">
      <alignment horizontal="right" vertical="center"/>
    </xf>
    <xf numFmtId="0" fontId="68" fillId="12" borderId="117" xfId="0" applyFont="1" applyFill="1" applyBorder="1" applyAlignment="1">
      <alignment horizontal="right" vertical="center"/>
    </xf>
    <xf numFmtId="0" fontId="68" fillId="12" borderId="92" xfId="0" applyFont="1" applyFill="1" applyBorder="1" applyAlignment="1">
      <alignment horizontal="right" vertical="center"/>
    </xf>
    <xf numFmtId="0" fontId="130" fillId="12" borderId="79" xfId="0" applyFont="1" applyFill="1" applyBorder="1" applyAlignment="1">
      <alignment horizontal="left" vertical="center"/>
    </xf>
    <xf numFmtId="0" fontId="130" fillId="12" borderId="52" xfId="0" applyFont="1" applyFill="1" applyBorder="1" applyAlignment="1">
      <alignment horizontal="left" vertical="center"/>
    </xf>
    <xf numFmtId="0" fontId="130" fillId="12" borderId="93" xfId="0" applyFont="1" applyFill="1" applyBorder="1" applyAlignment="1">
      <alignment horizontal="left" vertical="center"/>
    </xf>
    <xf numFmtId="0" fontId="97" fillId="0" borderId="0" xfId="0" applyFont="1" applyFill="1" applyBorder="1" applyAlignment="1">
      <alignment horizontal="left"/>
    </xf>
    <xf numFmtId="0" fontId="75" fillId="0" borderId="0" xfId="0" applyFont="1" applyFill="1" applyBorder="1" applyAlignment="1">
      <alignment horizontal="center" vertical="center" wrapText="1"/>
    </xf>
    <xf numFmtId="0" fontId="82" fillId="0" borderId="0" xfId="0" applyFont="1" applyFill="1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83" fillId="7" borderId="102" xfId="0" applyFont="1" applyFill="1" applyBorder="1" applyAlignment="1" applyProtection="1">
      <alignment horizontal="left" wrapText="1"/>
      <protection locked="0"/>
    </xf>
    <xf numFmtId="0" fontId="83" fillId="7" borderId="76" xfId="0" applyFont="1" applyFill="1" applyBorder="1" applyAlignment="1" applyProtection="1">
      <alignment horizontal="left" wrapText="1"/>
      <protection locked="0"/>
    </xf>
    <xf numFmtId="0" fontId="83" fillId="7" borderId="77" xfId="0" applyFont="1" applyFill="1" applyBorder="1" applyAlignment="1" applyProtection="1">
      <alignment horizontal="left" wrapText="1"/>
      <protection locked="0"/>
    </xf>
    <xf numFmtId="0" fontId="83" fillId="7" borderId="69" xfId="0" applyFont="1" applyFill="1" applyBorder="1" applyAlignment="1" applyProtection="1">
      <alignment horizontal="left" wrapText="1"/>
      <protection locked="0"/>
    </xf>
    <xf numFmtId="0" fontId="83" fillId="7" borderId="0" xfId="0" applyFont="1" applyFill="1" applyBorder="1" applyAlignment="1" applyProtection="1">
      <alignment horizontal="left" wrapText="1"/>
      <protection locked="0"/>
    </xf>
    <xf numFmtId="0" fontId="83" fillId="7" borderId="72" xfId="0" applyFont="1" applyFill="1" applyBorder="1" applyAlignment="1" applyProtection="1">
      <alignment horizontal="left" wrapText="1"/>
      <protection locked="0"/>
    </xf>
    <xf numFmtId="0" fontId="83" fillId="7" borderId="103" xfId="0" applyFont="1" applyFill="1" applyBorder="1" applyAlignment="1" applyProtection="1">
      <alignment horizontal="left" wrapText="1"/>
      <protection locked="0"/>
    </xf>
    <xf numFmtId="0" fontId="83" fillId="7" borderId="73" xfId="0" applyFont="1" applyFill="1" applyBorder="1" applyAlignment="1" applyProtection="1">
      <alignment horizontal="left" wrapText="1"/>
      <protection locked="0"/>
    </xf>
    <xf numFmtId="0" fontId="83" fillId="7" borderId="74" xfId="0" applyFont="1" applyFill="1" applyBorder="1" applyAlignment="1" applyProtection="1">
      <alignment horizontal="left" wrapText="1"/>
      <protection locked="0"/>
    </xf>
    <xf numFmtId="0" fontId="83" fillId="13" borderId="102" xfId="0" applyFont="1" applyFill="1" applyBorder="1" applyAlignment="1" applyProtection="1">
      <alignment horizontal="left" wrapText="1"/>
    </xf>
    <xf numFmtId="0" fontId="83" fillId="13" borderId="76" xfId="0" applyFont="1" applyFill="1" applyBorder="1" applyAlignment="1" applyProtection="1">
      <alignment horizontal="left" wrapText="1"/>
    </xf>
    <xf numFmtId="0" fontId="83" fillId="13" borderId="77" xfId="0" applyFont="1" applyFill="1" applyBorder="1" applyAlignment="1" applyProtection="1">
      <alignment horizontal="left" wrapText="1"/>
    </xf>
    <xf numFmtId="0" fontId="83" fillId="13" borderId="69" xfId="0" applyFont="1" applyFill="1" applyBorder="1" applyAlignment="1" applyProtection="1">
      <alignment horizontal="left" wrapText="1"/>
    </xf>
    <xf numFmtId="0" fontId="83" fillId="13" borderId="0" xfId="0" applyFont="1" applyFill="1" applyBorder="1" applyAlignment="1" applyProtection="1">
      <alignment horizontal="left" wrapText="1"/>
    </xf>
    <xf numFmtId="0" fontId="83" fillId="13" borderId="72" xfId="0" applyFont="1" applyFill="1" applyBorder="1" applyAlignment="1" applyProtection="1">
      <alignment horizontal="left" wrapText="1"/>
    </xf>
    <xf numFmtId="0" fontId="83" fillId="13" borderId="103" xfId="0" applyFont="1" applyFill="1" applyBorder="1" applyAlignment="1" applyProtection="1">
      <alignment horizontal="left" wrapText="1"/>
    </xf>
    <xf numFmtId="0" fontId="83" fillId="13" borderId="73" xfId="0" applyFont="1" applyFill="1" applyBorder="1" applyAlignment="1" applyProtection="1">
      <alignment horizontal="left" wrapText="1"/>
    </xf>
    <xf numFmtId="0" fontId="83" fillId="13" borderId="74" xfId="0" applyFont="1" applyFill="1" applyBorder="1" applyAlignment="1" applyProtection="1">
      <alignment horizontal="left" wrapText="1"/>
    </xf>
    <xf numFmtId="0" fontId="83" fillId="0" borderId="75" xfId="0" applyFont="1" applyBorder="1" applyAlignment="1">
      <alignment horizontal="left"/>
    </xf>
    <xf numFmtId="0" fontId="75" fillId="0" borderId="120" xfId="0" applyFont="1" applyBorder="1" applyAlignment="1">
      <alignment horizontal="right"/>
    </xf>
    <xf numFmtId="0" fontId="18" fillId="12" borderId="119" xfId="0" applyFont="1" applyFill="1" applyBorder="1" applyAlignment="1">
      <alignment horizontal="center" vertical="center"/>
    </xf>
    <xf numFmtId="0" fontId="131" fillId="12" borderId="55" xfId="0" applyFont="1" applyFill="1" applyBorder="1" applyAlignment="1">
      <alignment horizontal="center" vertical="center"/>
    </xf>
    <xf numFmtId="0" fontId="131" fillId="12" borderId="116" xfId="0" applyFont="1" applyFill="1" applyBorder="1" applyAlignment="1">
      <alignment horizontal="center" vertical="center"/>
    </xf>
    <xf numFmtId="0" fontId="131" fillId="12" borderId="70" xfId="0" applyFont="1" applyFill="1" applyBorder="1" applyAlignment="1">
      <alignment horizontal="center" vertical="center"/>
    </xf>
    <xf numFmtId="1" fontId="70" fillId="12" borderId="0" xfId="0" applyNumberFormat="1" applyFont="1" applyFill="1" applyBorder="1" applyAlignment="1">
      <alignment horizontal="right" vertical="center"/>
    </xf>
    <xf numFmtId="1" fontId="70" fillId="12" borderId="73" xfId="0" applyNumberFormat="1" applyFont="1" applyFill="1" applyBorder="1" applyAlignment="1">
      <alignment horizontal="right" vertical="center"/>
    </xf>
    <xf numFmtId="0" fontId="103" fillId="13" borderId="0" xfId="0" applyFont="1" applyFill="1" applyBorder="1" applyAlignment="1" applyProtection="1">
      <alignment horizontal="left"/>
    </xf>
    <xf numFmtId="2" fontId="97" fillId="0" borderId="77" xfId="0" applyNumberFormat="1" applyFont="1" applyFill="1" applyBorder="1" applyAlignment="1" applyProtection="1">
      <alignment horizontal="left"/>
    </xf>
    <xf numFmtId="2" fontId="97" fillId="0" borderId="72" xfId="0" applyNumberFormat="1" applyFont="1" applyFill="1" applyBorder="1" applyAlignment="1" applyProtection="1">
      <alignment horizontal="left"/>
    </xf>
    <xf numFmtId="2" fontId="97" fillId="0" borderId="74" xfId="0" applyNumberFormat="1" applyFont="1" applyFill="1" applyBorder="1" applyAlignment="1" applyProtection="1">
      <alignment horizontal="left"/>
    </xf>
    <xf numFmtId="0" fontId="97" fillId="0" borderId="75" xfId="0" applyFont="1" applyBorder="1" applyAlignment="1">
      <alignment horizontal="left"/>
    </xf>
    <xf numFmtId="2" fontId="97" fillId="0" borderId="75" xfId="0" applyNumberFormat="1" applyFont="1" applyFill="1" applyBorder="1" applyAlignment="1" applyProtection="1">
      <alignment horizontal="left"/>
    </xf>
    <xf numFmtId="1" fontId="70" fillId="12" borderId="76" xfId="0" applyNumberFormat="1" applyFont="1" applyFill="1" applyBorder="1" applyAlignment="1">
      <alignment horizontal="right" vertical="center"/>
    </xf>
    <xf numFmtId="0" fontId="70" fillId="12" borderId="76" xfId="0" applyFont="1" applyFill="1" applyBorder="1" applyAlignment="1">
      <alignment horizontal="left" vertical="center"/>
    </xf>
    <xf numFmtId="0" fontId="97" fillId="0" borderId="100" xfId="0" applyFont="1" applyBorder="1" applyAlignment="1">
      <alignment horizontal="left"/>
    </xf>
    <xf numFmtId="0" fontId="21" fillId="0" borderId="69" xfId="0" applyFont="1" applyBorder="1" applyAlignment="1">
      <alignment horizontal="center"/>
    </xf>
    <xf numFmtId="0" fontId="97" fillId="7" borderId="75" xfId="0" applyFont="1" applyFill="1" applyBorder="1" applyAlignment="1">
      <alignment horizontal="left"/>
    </xf>
    <xf numFmtId="0" fontId="97" fillId="13" borderId="77" xfId="0" applyFont="1" applyFill="1" applyBorder="1" applyAlignment="1" applyProtection="1">
      <alignment horizontal="left"/>
    </xf>
    <xf numFmtId="0" fontId="97" fillId="13" borderId="72" xfId="0" applyFont="1" applyFill="1" applyBorder="1" applyAlignment="1" applyProtection="1">
      <alignment horizontal="left"/>
    </xf>
    <xf numFmtId="0" fontId="97" fillId="13" borderId="74" xfId="0" applyFont="1" applyFill="1" applyBorder="1" applyAlignment="1" applyProtection="1">
      <alignment horizontal="left"/>
    </xf>
    <xf numFmtId="1" fontId="75" fillId="13" borderId="80" xfId="0" applyNumberFormat="1" applyFont="1" applyFill="1" applyBorder="1" applyAlignment="1" applyProtection="1">
      <alignment horizontal="right"/>
    </xf>
    <xf numFmtId="1" fontId="75" fillId="13" borderId="117" xfId="0" applyNumberFormat="1" applyFont="1" applyFill="1" applyBorder="1" applyAlignment="1" applyProtection="1">
      <alignment horizontal="right"/>
    </xf>
    <xf numFmtId="1" fontId="75" fillId="13" borderId="92" xfId="0" applyNumberFormat="1" applyFont="1" applyFill="1" applyBorder="1" applyAlignment="1" applyProtection="1">
      <alignment horizontal="right"/>
    </xf>
    <xf numFmtId="0" fontId="83" fillId="0" borderId="99" xfId="0" applyFont="1" applyBorder="1" applyAlignment="1">
      <alignment horizontal="left" wrapText="1"/>
    </xf>
    <xf numFmtId="0" fontId="83" fillId="0" borderId="71" xfId="0" applyFont="1" applyBorder="1" applyAlignment="1">
      <alignment horizontal="left" wrapText="1"/>
    </xf>
    <xf numFmtId="0" fontId="83" fillId="0" borderId="75" xfId="0" applyFont="1" applyBorder="1" applyAlignment="1">
      <alignment horizontal="left" wrapText="1"/>
    </xf>
    <xf numFmtId="9" fontId="83" fillId="0" borderId="77" xfId="5" applyFont="1" applyBorder="1" applyAlignment="1">
      <alignment horizontal="left"/>
    </xf>
    <xf numFmtId="9" fontId="83" fillId="0" borderId="72" xfId="5" applyFont="1" applyBorder="1" applyAlignment="1">
      <alignment horizontal="left"/>
    </xf>
    <xf numFmtId="9" fontId="83" fillId="0" borderId="74" xfId="5" applyFont="1" applyBorder="1" applyAlignment="1">
      <alignment horizontal="left"/>
    </xf>
    <xf numFmtId="1" fontId="68" fillId="12" borderId="76" xfId="0" applyNumberFormat="1" applyFont="1" applyFill="1" applyBorder="1" applyAlignment="1">
      <alignment horizontal="right" vertical="center"/>
    </xf>
    <xf numFmtId="2" fontId="75" fillId="7" borderId="117" xfId="0" applyNumberFormat="1" applyFont="1" applyFill="1" applyBorder="1" applyAlignment="1" applyProtection="1">
      <alignment horizontal="right"/>
      <protection locked="0"/>
    </xf>
    <xf numFmtId="2" fontId="75" fillId="7" borderId="92" xfId="0" applyNumberFormat="1" applyFont="1" applyFill="1" applyBorder="1" applyAlignment="1" applyProtection="1">
      <alignment horizontal="right"/>
      <protection locked="0"/>
    </xf>
    <xf numFmtId="0" fontId="21" fillId="0" borderId="0" xfId="0" applyFont="1" applyBorder="1"/>
    <xf numFmtId="0" fontId="118" fillId="12" borderId="117" xfId="0" applyFont="1" applyFill="1" applyBorder="1" applyAlignment="1">
      <alignment horizontal="center" vertical="center"/>
    </xf>
    <xf numFmtId="0" fontId="0" fillId="0" borderId="0" xfId="0"/>
    <xf numFmtId="1" fontId="0" fillId="7" borderId="117" xfId="0" applyNumberFormat="1" applyFill="1" applyBorder="1" applyProtection="1">
      <protection locked="0"/>
    </xf>
    <xf numFmtId="1" fontId="0" fillId="7" borderId="92" xfId="0" applyNumberFormat="1" applyFill="1" applyBorder="1" applyProtection="1">
      <protection locked="0"/>
    </xf>
    <xf numFmtId="166" fontId="75" fillId="7" borderId="80" xfId="0" applyNumberFormat="1" applyFont="1" applyFill="1" applyBorder="1" applyAlignment="1" applyProtection="1">
      <alignment horizontal="right"/>
      <protection locked="0"/>
    </xf>
    <xf numFmtId="166" fontId="0" fillId="7" borderId="117" xfId="0" applyNumberFormat="1" applyFill="1" applyBorder="1" applyProtection="1">
      <protection locked="0"/>
    </xf>
    <xf numFmtId="166" fontId="0" fillId="7" borderId="92" xfId="0" applyNumberFormat="1" applyFill="1" applyBorder="1" applyProtection="1">
      <protection locked="0"/>
    </xf>
    <xf numFmtId="0" fontId="103" fillId="13" borderId="0" xfId="0" applyFont="1" applyFill="1" applyBorder="1" applyAlignment="1" applyProtection="1">
      <alignment horizontal="center"/>
    </xf>
    <xf numFmtId="0" fontId="0" fillId="7" borderId="117" xfId="0" applyFill="1" applyBorder="1" applyProtection="1">
      <protection locked="0"/>
    </xf>
    <xf numFmtId="0" fontId="0" fillId="7" borderId="92" xfId="0" applyFill="1" applyBorder="1" applyProtection="1">
      <protection locked="0"/>
    </xf>
    <xf numFmtId="166" fontId="0" fillId="0" borderId="117" xfId="0" applyNumberFormat="1" applyBorder="1"/>
    <xf numFmtId="166" fontId="0" fillId="0" borderId="92" xfId="0" applyNumberFormat="1" applyBorder="1"/>
    <xf numFmtId="166" fontId="75" fillId="7" borderId="117" xfId="0" applyNumberFormat="1" applyFont="1" applyFill="1" applyBorder="1" applyAlignment="1" applyProtection="1">
      <alignment horizontal="right"/>
      <protection locked="0"/>
    </xf>
    <xf numFmtId="166" fontId="75" fillId="7" borderId="92" xfId="0" applyNumberFormat="1" applyFont="1" applyFill="1" applyBorder="1" applyAlignment="1" applyProtection="1">
      <alignment horizontal="right"/>
      <protection locked="0"/>
    </xf>
    <xf numFmtId="166" fontId="75" fillId="7" borderId="117" xfId="0" applyNumberFormat="1" applyFont="1" applyFill="1" applyBorder="1" applyAlignment="1" applyProtection="1">
      <alignment horizontal="right"/>
      <protection locked="0" hidden="1"/>
    </xf>
    <xf numFmtId="166" fontId="75" fillId="7" borderId="92" xfId="0" applyNumberFormat="1" applyFont="1" applyFill="1" applyBorder="1" applyAlignment="1" applyProtection="1">
      <alignment horizontal="right"/>
      <protection locked="0" hidden="1"/>
    </xf>
    <xf numFmtId="2" fontId="75" fillId="7" borderId="117" xfId="0" applyNumberFormat="1" applyFont="1" applyFill="1" applyBorder="1" applyAlignment="1" applyProtection="1">
      <alignment horizontal="right"/>
      <protection locked="0" hidden="1"/>
    </xf>
    <xf numFmtId="2" fontId="75" fillId="7" borderId="92" xfId="0" applyNumberFormat="1" applyFont="1" applyFill="1" applyBorder="1" applyAlignment="1" applyProtection="1">
      <alignment horizontal="right"/>
      <protection locked="0" hidden="1"/>
    </xf>
    <xf numFmtId="167" fontId="75" fillId="7" borderId="80" xfId="0" applyNumberFormat="1" applyFont="1" applyFill="1" applyBorder="1" applyAlignment="1" applyProtection="1">
      <alignment horizontal="right"/>
      <protection locked="0" hidden="1"/>
    </xf>
    <xf numFmtId="167" fontId="0" fillId="7" borderId="117" xfId="0" applyNumberFormat="1" applyFill="1" applyBorder="1" applyProtection="1">
      <protection locked="0" hidden="1"/>
    </xf>
    <xf numFmtId="167" fontId="0" fillId="7" borderId="92" xfId="0" applyNumberFormat="1" applyFill="1" applyBorder="1" applyProtection="1">
      <protection locked="0" hidden="1"/>
    </xf>
    <xf numFmtId="1" fontId="75" fillId="7" borderId="117" xfId="0" applyNumberFormat="1" applyFont="1" applyFill="1" applyBorder="1" applyAlignment="1" applyProtection="1">
      <alignment horizontal="right"/>
      <protection locked="0" hidden="1"/>
    </xf>
    <xf numFmtId="0" fontId="75" fillId="7" borderId="117" xfId="0" applyFont="1" applyFill="1" applyBorder="1" applyAlignment="1" applyProtection="1">
      <alignment horizontal="right"/>
      <protection locked="0" hidden="1"/>
    </xf>
    <xf numFmtId="0" fontId="75" fillId="7" borderId="92" xfId="0" applyFont="1" applyFill="1" applyBorder="1" applyAlignment="1" applyProtection="1">
      <alignment horizontal="right"/>
      <protection locked="0" hidden="1"/>
    </xf>
    <xf numFmtId="166" fontId="75" fillId="7" borderId="80" xfId="0" applyNumberFormat="1" applyFont="1" applyFill="1" applyBorder="1" applyAlignment="1" applyProtection="1">
      <alignment horizontal="right"/>
      <protection locked="0" hidden="1"/>
    </xf>
    <xf numFmtId="0" fontId="0" fillId="7" borderId="117" xfId="0" applyFill="1" applyBorder="1" applyProtection="1">
      <protection locked="0" hidden="1"/>
    </xf>
    <xf numFmtId="0" fontId="0" fillId="7" borderId="92" xfId="0" applyFill="1" applyBorder="1" applyProtection="1">
      <protection locked="0" hidden="1"/>
    </xf>
    <xf numFmtId="1" fontId="75" fillId="7" borderId="80" xfId="0" applyNumberFormat="1" applyFont="1" applyFill="1" applyBorder="1" applyAlignment="1" applyProtection="1">
      <alignment horizontal="right"/>
      <protection locked="0" hidden="1"/>
    </xf>
    <xf numFmtId="1" fontId="0" fillId="7" borderId="117" xfId="0" applyNumberFormat="1" applyFill="1" applyBorder="1" applyProtection="1">
      <protection locked="0" hidden="1"/>
    </xf>
    <xf numFmtId="1" fontId="0" fillId="7" borderId="92" xfId="0" applyNumberFormat="1" applyFill="1" applyBorder="1" applyProtection="1">
      <protection locked="0" hidden="1"/>
    </xf>
    <xf numFmtId="166" fontId="0" fillId="7" borderId="117" xfId="0" applyNumberFormat="1" applyFill="1" applyBorder="1" applyProtection="1">
      <protection locked="0" hidden="1"/>
    </xf>
    <xf numFmtId="166" fontId="0" fillId="7" borderId="92" xfId="0" applyNumberFormat="1" applyFill="1" applyBorder="1" applyProtection="1">
      <protection locked="0" hidden="1"/>
    </xf>
    <xf numFmtId="2" fontId="75" fillId="7" borderId="80" xfId="0" applyNumberFormat="1" applyFont="1" applyFill="1" applyBorder="1" applyAlignment="1" applyProtection="1">
      <alignment horizontal="right"/>
      <protection locked="0" hidden="1"/>
    </xf>
    <xf numFmtId="2" fontId="0" fillId="7" borderId="117" xfId="0" applyNumberFormat="1" applyFill="1" applyBorder="1" applyProtection="1">
      <protection locked="0" hidden="1"/>
    </xf>
    <xf numFmtId="2" fontId="0" fillId="7" borderId="92" xfId="0" applyNumberFormat="1" applyFill="1" applyBorder="1" applyProtection="1">
      <protection locked="0" hidden="1"/>
    </xf>
    <xf numFmtId="0" fontId="83" fillId="0" borderId="121" xfId="0" applyFont="1" applyBorder="1" applyAlignment="1">
      <alignment horizontal="left"/>
    </xf>
    <xf numFmtId="0" fontId="83" fillId="0" borderId="86" xfId="0" applyFont="1" applyBorder="1" applyAlignment="1">
      <alignment horizontal="left"/>
    </xf>
    <xf numFmtId="0" fontId="83" fillId="0" borderId="85" xfId="0" applyFont="1" applyBorder="1" applyAlignment="1">
      <alignment horizontal="left"/>
    </xf>
    <xf numFmtId="0" fontId="83" fillId="0" borderId="121" xfId="0" applyFont="1" applyBorder="1" applyAlignment="1">
      <alignment horizontal="left" wrapText="1"/>
    </xf>
    <xf numFmtId="0" fontId="83" fillId="0" borderId="86" xfId="0" applyFont="1" applyBorder="1" applyAlignment="1">
      <alignment horizontal="left" wrapText="1"/>
    </xf>
    <xf numFmtId="0" fontId="83" fillId="0" borderId="85" xfId="0" applyFont="1" applyBorder="1" applyAlignment="1">
      <alignment horizontal="left" wrapText="1"/>
    </xf>
    <xf numFmtId="0" fontId="83" fillId="0" borderId="122" xfId="0" applyFont="1" applyBorder="1" applyAlignment="1">
      <alignment horizontal="left"/>
    </xf>
    <xf numFmtId="0" fontId="83" fillId="0" borderId="123" xfId="0" applyFont="1" applyBorder="1" applyAlignment="1">
      <alignment horizontal="left"/>
    </xf>
    <xf numFmtId="0" fontId="83" fillId="0" borderId="84" xfId="0" applyFont="1" applyBorder="1" applyAlignment="1">
      <alignment horizontal="left"/>
    </xf>
    <xf numFmtId="0" fontId="83" fillId="7" borderId="121" xfId="0" applyFont="1" applyFill="1" applyBorder="1" applyAlignment="1" applyProtection="1">
      <alignment horizontal="left" wrapText="1"/>
      <protection locked="0"/>
    </xf>
    <xf numFmtId="0" fontId="83" fillId="7" borderId="86" xfId="0" applyFont="1" applyFill="1" applyBorder="1" applyAlignment="1" applyProtection="1">
      <alignment horizontal="left" wrapText="1"/>
      <protection locked="0"/>
    </xf>
    <xf numFmtId="2" fontId="103" fillId="13" borderId="0" xfId="0" applyNumberFormat="1" applyFont="1" applyFill="1" applyBorder="1" applyAlignment="1" applyProtection="1">
      <alignment horizontal="left"/>
    </xf>
    <xf numFmtId="0" fontId="83" fillId="0" borderId="121" xfId="0" applyFont="1" applyFill="1" applyBorder="1" applyAlignment="1" applyProtection="1">
      <alignment horizontal="left"/>
    </xf>
    <xf numFmtId="0" fontId="83" fillId="0" borderId="86" xfId="0" applyFont="1" applyFill="1" applyBorder="1" applyAlignment="1" applyProtection="1">
      <alignment horizontal="left"/>
    </xf>
    <xf numFmtId="0" fontId="83" fillId="0" borderId="85" xfId="0" applyFont="1" applyFill="1" applyBorder="1" applyAlignment="1" applyProtection="1">
      <alignment horizontal="left"/>
    </xf>
    <xf numFmtId="0" fontId="83" fillId="7" borderId="121" xfId="0" applyFont="1" applyFill="1" applyBorder="1" applyAlignment="1" applyProtection="1">
      <alignment horizontal="left"/>
      <protection locked="0"/>
    </xf>
    <xf numFmtId="0" fontId="83" fillId="7" borderId="86" xfId="0" applyFont="1" applyFill="1" applyBorder="1" applyAlignment="1" applyProtection="1">
      <alignment horizontal="left"/>
      <protection locked="0"/>
    </xf>
    <xf numFmtId="0" fontId="83" fillId="7" borderId="85" xfId="0" applyFont="1" applyFill="1" applyBorder="1" applyAlignment="1" applyProtection="1">
      <alignment horizontal="left"/>
      <protection locked="0"/>
    </xf>
    <xf numFmtId="0" fontId="83" fillId="7" borderId="85" xfId="0" applyFont="1" applyFill="1" applyBorder="1" applyAlignment="1" applyProtection="1">
      <alignment horizontal="left" wrapText="1"/>
      <protection locked="0"/>
    </xf>
    <xf numFmtId="0" fontId="75" fillId="0" borderId="126" xfId="0" applyFont="1" applyBorder="1" applyAlignment="1">
      <alignment horizontal="center" vertical="center"/>
    </xf>
    <xf numFmtId="0" fontId="75" fillId="0" borderId="127" xfId="0" applyFont="1" applyBorder="1" applyAlignment="1">
      <alignment horizontal="center" vertical="center"/>
    </xf>
    <xf numFmtId="0" fontId="75" fillId="0" borderId="128" xfId="0" applyFont="1" applyBorder="1" applyAlignment="1">
      <alignment horizontal="center" vertical="center"/>
    </xf>
    <xf numFmtId="0" fontId="75" fillId="0" borderId="126" xfId="0" applyFont="1" applyBorder="1" applyAlignment="1">
      <alignment horizontal="center" vertical="center" wrapText="1"/>
    </xf>
    <xf numFmtId="0" fontId="75" fillId="0" borderId="128" xfId="0" applyFont="1" applyBorder="1" applyAlignment="1">
      <alignment horizontal="center" vertical="center" wrapText="1"/>
    </xf>
    <xf numFmtId="0" fontId="83" fillId="0" borderId="124" xfId="0" applyFont="1" applyBorder="1" applyAlignment="1">
      <alignment horizontal="left"/>
    </xf>
    <xf numFmtId="0" fontId="83" fillId="0" borderId="125" xfId="0" applyFont="1" applyBorder="1" applyAlignment="1">
      <alignment horizontal="left"/>
    </xf>
    <xf numFmtId="0" fontId="83" fillId="0" borderId="96" xfId="0" applyFont="1" applyBorder="1" applyAlignment="1">
      <alignment horizontal="left"/>
    </xf>
    <xf numFmtId="0" fontId="75" fillId="0" borderId="129" xfId="0" applyFont="1" applyBorder="1" applyAlignment="1">
      <alignment horizontal="center" vertical="center" wrapText="1"/>
    </xf>
    <xf numFmtId="0" fontId="75" fillId="0" borderId="130" xfId="0" applyFont="1" applyBorder="1" applyAlignment="1">
      <alignment horizontal="center" vertical="center" wrapText="1"/>
    </xf>
    <xf numFmtId="0" fontId="131" fillId="12" borderId="131" xfId="0" applyFont="1" applyFill="1" applyBorder="1" applyAlignment="1">
      <alignment horizontal="center" vertical="center"/>
    </xf>
    <xf numFmtId="0" fontId="131" fillId="12" borderId="118" xfId="0" applyFont="1" applyFill="1" applyBorder="1" applyAlignment="1">
      <alignment horizontal="center" vertical="center"/>
    </xf>
    <xf numFmtId="0" fontId="131" fillId="12" borderId="101" xfId="0" applyFont="1" applyFill="1" applyBorder="1" applyAlignment="1">
      <alignment horizontal="center" vertical="center"/>
    </xf>
    <xf numFmtId="0" fontId="131" fillId="12" borderId="91" xfId="0" applyFont="1" applyFill="1" applyBorder="1" applyAlignment="1">
      <alignment horizontal="center" vertical="center"/>
    </xf>
    <xf numFmtId="0" fontId="62" fillId="12" borderId="101" xfId="0" applyFont="1" applyFill="1" applyBorder="1" applyAlignment="1">
      <alignment horizontal="left" vertical="center" wrapText="1"/>
    </xf>
    <xf numFmtId="0" fontId="62" fillId="12" borderId="70" xfId="0" applyFont="1" applyFill="1" applyBorder="1" applyAlignment="1">
      <alignment horizontal="left" vertical="center" wrapText="1"/>
    </xf>
    <xf numFmtId="0" fontId="94" fillId="7" borderId="108" xfId="1" applyFont="1" applyFill="1" applyBorder="1" applyAlignment="1" applyProtection="1">
      <alignment horizontal="center" vertical="center"/>
      <protection locked="0"/>
    </xf>
    <xf numFmtId="0" fontId="94" fillId="7" borderId="63" xfId="1" applyFont="1" applyFill="1" applyBorder="1" applyAlignment="1" applyProtection="1">
      <alignment horizontal="center" vertical="center"/>
      <protection locked="0"/>
    </xf>
    <xf numFmtId="9" fontId="83" fillId="0" borderId="102" xfId="5" applyFont="1" applyBorder="1" applyAlignment="1">
      <alignment horizontal="left" wrapText="1"/>
    </xf>
    <xf numFmtId="9" fontId="83" fillId="0" borderId="76" xfId="5" applyFont="1" applyBorder="1" applyAlignment="1">
      <alignment horizontal="left" wrapText="1"/>
    </xf>
    <xf numFmtId="9" fontId="83" fillId="0" borderId="77" xfId="5" applyFont="1" applyBorder="1" applyAlignment="1">
      <alignment horizontal="left" wrapText="1"/>
    </xf>
    <xf numFmtId="9" fontId="83" fillId="0" borderId="69" xfId="5" applyFont="1" applyBorder="1" applyAlignment="1">
      <alignment horizontal="left" wrapText="1"/>
    </xf>
    <xf numFmtId="9" fontId="83" fillId="0" borderId="0" xfId="5" applyFont="1" applyBorder="1" applyAlignment="1">
      <alignment horizontal="left" wrapText="1"/>
    </xf>
    <xf numFmtId="9" fontId="83" fillId="0" borderId="72" xfId="5" applyFont="1" applyBorder="1" applyAlignment="1">
      <alignment horizontal="left" wrapText="1"/>
    </xf>
    <xf numFmtId="9" fontId="83" fillId="0" borderId="103" xfId="5" applyFont="1" applyBorder="1" applyAlignment="1">
      <alignment horizontal="left" wrapText="1"/>
    </xf>
    <xf numFmtId="9" fontId="83" fillId="0" borderId="73" xfId="5" applyFont="1" applyBorder="1" applyAlignment="1">
      <alignment horizontal="left" wrapText="1"/>
    </xf>
    <xf numFmtId="9" fontId="83" fillId="0" borderId="74" xfId="5" applyFont="1" applyBorder="1" applyAlignment="1">
      <alignment horizontal="left" wrapText="1"/>
    </xf>
    <xf numFmtId="0" fontId="97" fillId="0" borderId="72" xfId="0" applyFont="1" applyFill="1" applyBorder="1" applyAlignment="1" applyProtection="1">
      <alignment horizontal="left"/>
      <protection hidden="1"/>
    </xf>
    <xf numFmtId="0" fontId="97" fillId="0" borderId="74" xfId="0" applyFont="1" applyFill="1" applyBorder="1" applyAlignment="1" applyProtection="1">
      <alignment horizontal="left"/>
      <protection hidden="1"/>
    </xf>
    <xf numFmtId="0" fontId="97" fillId="0" borderId="77" xfId="0" applyFont="1" applyFill="1" applyBorder="1" applyAlignment="1" applyProtection="1">
      <alignment horizontal="left"/>
      <protection hidden="1"/>
    </xf>
    <xf numFmtId="0" fontId="132" fillId="0" borderId="0" xfId="4" applyFont="1" applyFill="1" applyBorder="1" applyAlignment="1" applyProtection="1">
      <alignment horizontal="center" vertical="center"/>
    </xf>
    <xf numFmtId="0" fontId="138" fillId="0" borderId="0" xfId="4" applyFont="1" applyFill="1" applyBorder="1" applyAlignment="1" applyProtection="1">
      <alignment horizontal="center" vertical="center"/>
    </xf>
    <xf numFmtId="0" fontId="138" fillId="0" borderId="50" xfId="4" applyFont="1" applyFill="1" applyBorder="1" applyAlignment="1" applyProtection="1">
      <alignment horizontal="center" vertical="center"/>
    </xf>
    <xf numFmtId="0" fontId="133" fillId="0" borderId="48" xfId="4" applyFont="1" applyFill="1" applyBorder="1" applyAlignment="1" applyProtection="1">
      <alignment horizontal="center" vertical="center"/>
    </xf>
    <xf numFmtId="0" fontId="133" fillId="0" borderId="51" xfId="4" applyFont="1" applyFill="1" applyBorder="1" applyAlignment="1" applyProtection="1">
      <alignment horizontal="center" vertical="center"/>
    </xf>
    <xf numFmtId="2" fontId="138" fillId="0" borderId="48" xfId="4" applyNumberFormat="1" applyFont="1" applyFill="1" applyBorder="1" applyAlignment="1" applyProtection="1">
      <alignment horizontal="center" vertical="center"/>
    </xf>
    <xf numFmtId="0" fontId="138" fillId="0" borderId="48" xfId="4" applyFont="1" applyFill="1" applyBorder="1" applyAlignment="1" applyProtection="1">
      <alignment horizontal="center" vertical="center"/>
    </xf>
    <xf numFmtId="0" fontId="139" fillId="0" borderId="47" xfId="4" applyFont="1" applyFill="1" applyBorder="1" applyAlignment="1" applyProtection="1">
      <alignment horizontal="center" vertical="center"/>
    </xf>
    <xf numFmtId="0" fontId="139" fillId="0" borderId="0" xfId="4" applyFont="1" applyFill="1" applyBorder="1" applyAlignment="1" applyProtection="1">
      <alignment horizontal="center" vertical="center"/>
    </xf>
    <xf numFmtId="0" fontId="54" fillId="0" borderId="0" xfId="4" applyFont="1" applyFill="1" applyBorder="1" applyAlignment="1" applyProtection="1">
      <alignment horizontal="center"/>
    </xf>
    <xf numFmtId="1" fontId="140" fillId="0" borderId="47" xfId="4" applyNumberFormat="1" applyFont="1" applyFill="1" applyBorder="1" applyAlignment="1" applyProtection="1">
      <alignment horizontal="center" vertical="center"/>
    </xf>
    <xf numFmtId="1" fontId="140" fillId="0" borderId="49" xfId="4" applyNumberFormat="1" applyFont="1" applyFill="1" applyBorder="1" applyAlignment="1" applyProtection="1">
      <alignment horizontal="center" vertical="center"/>
    </xf>
    <xf numFmtId="1" fontId="142" fillId="15" borderId="0" xfId="4" applyNumberFormat="1" applyFont="1" applyFill="1" applyBorder="1" applyAlignment="1" applyProtection="1">
      <alignment horizontal="center" vertical="center"/>
    </xf>
    <xf numFmtId="0" fontId="142" fillId="15" borderId="0" xfId="4" applyFont="1" applyFill="1" applyBorder="1" applyAlignment="1" applyProtection="1">
      <alignment horizontal="center" vertical="center"/>
    </xf>
    <xf numFmtId="0" fontId="135" fillId="12" borderId="0" xfId="4" applyFont="1" applyFill="1" applyBorder="1" applyAlignment="1" applyProtection="1">
      <alignment horizontal="center" vertical="center"/>
    </xf>
    <xf numFmtId="0" fontId="135" fillId="12" borderId="135" xfId="4" applyFont="1" applyFill="1" applyBorder="1" applyAlignment="1" applyProtection="1">
      <alignment horizontal="center" vertical="center"/>
    </xf>
    <xf numFmtId="0" fontId="141" fillId="0" borderId="48" xfId="4" applyFont="1" applyFill="1" applyBorder="1" applyAlignment="1" applyProtection="1">
      <alignment horizontal="center" vertical="center"/>
    </xf>
    <xf numFmtId="0" fontId="141" fillId="0" borderId="51" xfId="4" applyFont="1" applyFill="1" applyBorder="1" applyAlignment="1" applyProtection="1">
      <alignment horizontal="center" vertical="center"/>
    </xf>
    <xf numFmtId="0" fontId="135" fillId="12" borderId="136" xfId="4" applyFont="1" applyFill="1" applyBorder="1" applyAlignment="1" applyProtection="1">
      <alignment horizontal="left" vertical="center"/>
    </xf>
    <xf numFmtId="0" fontId="135" fillId="12" borderId="132" xfId="4" applyFont="1" applyFill="1" applyBorder="1" applyAlignment="1" applyProtection="1">
      <alignment horizontal="left" vertical="center"/>
    </xf>
    <xf numFmtId="0" fontId="135" fillId="12" borderId="133" xfId="4" applyFont="1" applyFill="1" applyBorder="1" applyAlignment="1" applyProtection="1">
      <alignment horizontal="left" vertical="center"/>
    </xf>
    <xf numFmtId="0" fontId="135" fillId="12" borderId="98" xfId="4" applyFont="1" applyFill="1" applyBorder="1" applyAlignment="1" applyProtection="1">
      <alignment horizontal="left" vertical="center"/>
    </xf>
    <xf numFmtId="0" fontId="135" fillId="12" borderId="0" xfId="4" applyFont="1" applyFill="1" applyBorder="1" applyAlignment="1" applyProtection="1">
      <alignment horizontal="left" vertical="center"/>
    </xf>
    <xf numFmtId="0" fontId="135" fillId="12" borderId="43" xfId="4" applyFont="1" applyFill="1" applyBorder="1" applyAlignment="1" applyProtection="1">
      <alignment horizontal="left" vertical="center"/>
    </xf>
    <xf numFmtId="0" fontId="135" fillId="12" borderId="137" xfId="4" applyFont="1" applyFill="1" applyBorder="1" applyAlignment="1" applyProtection="1">
      <alignment horizontal="left" vertical="center"/>
    </xf>
    <xf numFmtId="0" fontId="135" fillId="12" borderId="50" xfId="4" applyFont="1" applyFill="1" applyBorder="1" applyAlignment="1" applyProtection="1">
      <alignment horizontal="left" vertical="center"/>
    </xf>
    <xf numFmtId="0" fontId="135" fillId="12" borderId="134" xfId="4" applyFont="1" applyFill="1" applyBorder="1" applyAlignment="1" applyProtection="1">
      <alignment horizontal="left" vertical="center"/>
    </xf>
    <xf numFmtId="0" fontId="54" fillId="0" borderId="0" xfId="4" applyFont="1" applyFill="1" applyAlignment="1" applyProtection="1">
      <alignment horizontal="center"/>
    </xf>
    <xf numFmtId="0" fontId="133" fillId="0" borderId="0" xfId="4" applyFont="1" applyFill="1" applyBorder="1" applyAlignment="1" applyProtection="1">
      <alignment horizontal="center" vertical="center"/>
    </xf>
    <xf numFmtId="1" fontId="133" fillId="0" borderId="0" xfId="4" applyNumberFormat="1" applyFont="1" applyFill="1" applyBorder="1" applyAlignment="1" applyProtection="1">
      <alignment horizontal="center" vertical="center"/>
    </xf>
    <xf numFmtId="0" fontId="134" fillId="12" borderId="0" xfId="4" applyFont="1" applyFill="1" applyAlignment="1" applyProtection="1">
      <alignment horizontal="center" vertical="center" wrapText="1"/>
    </xf>
    <xf numFmtId="0" fontId="134" fillId="12" borderId="138" xfId="4" applyFont="1" applyFill="1" applyBorder="1" applyAlignment="1" applyProtection="1">
      <alignment horizontal="center" vertical="center" wrapText="1"/>
    </xf>
    <xf numFmtId="0" fontId="94" fillId="7" borderId="0" xfId="1" applyFont="1" applyFill="1" applyBorder="1" applyAlignment="1" applyProtection="1">
      <alignment horizontal="center" vertical="center"/>
      <protection locked="0"/>
    </xf>
    <xf numFmtId="0" fontId="94" fillId="7" borderId="58" xfId="1" applyFont="1" applyFill="1" applyBorder="1" applyAlignment="1" applyProtection="1">
      <alignment horizontal="center" vertical="center"/>
      <protection locked="0"/>
    </xf>
    <xf numFmtId="0" fontId="139" fillId="0" borderId="48" xfId="4" applyFont="1" applyFill="1" applyBorder="1" applyAlignment="1" applyProtection="1">
      <alignment horizontal="center" vertical="center"/>
    </xf>
    <xf numFmtId="49" fontId="8" fillId="0" borderId="33" xfId="4" applyNumberFormat="1" applyFont="1" applyFill="1" applyBorder="1" applyAlignment="1" applyProtection="1">
      <alignment horizontal="center" vertical="center" textRotation="90" wrapText="1"/>
    </xf>
    <xf numFmtId="49" fontId="8" fillId="0" borderId="22" xfId="4" applyNumberFormat="1" applyFont="1" applyFill="1" applyBorder="1" applyAlignment="1" applyProtection="1">
      <alignment horizontal="center" vertical="center" textRotation="90" wrapText="1"/>
    </xf>
    <xf numFmtId="0" fontId="8" fillId="0" borderId="33" xfId="4" applyFont="1" applyFill="1" applyBorder="1" applyAlignment="1" applyProtection="1">
      <alignment horizontal="center" vertical="center" textRotation="90" wrapText="1"/>
    </xf>
    <xf numFmtId="0" fontId="8" fillId="0" borderId="22" xfId="4" applyFont="1" applyFill="1" applyBorder="1" applyAlignment="1" applyProtection="1">
      <alignment horizontal="center" vertical="center" textRotation="90" wrapText="1"/>
    </xf>
    <xf numFmtId="0" fontId="9" fillId="4" borderId="37" xfId="4" applyFont="1" applyFill="1" applyBorder="1" applyAlignment="1" applyProtection="1">
      <alignment horizontal="center" vertical="center" wrapText="1"/>
    </xf>
    <xf numFmtId="0" fontId="9" fillId="4" borderId="38" xfId="4" applyFont="1" applyFill="1" applyBorder="1" applyAlignment="1" applyProtection="1">
      <alignment horizontal="center" vertical="center" wrapText="1"/>
    </xf>
    <xf numFmtId="0" fontId="9" fillId="4" borderId="39" xfId="4" applyFont="1" applyFill="1" applyBorder="1" applyAlignment="1" applyProtection="1">
      <alignment horizontal="center" vertical="center" wrapText="1"/>
    </xf>
    <xf numFmtId="0" fontId="9" fillId="4" borderId="40" xfId="4" applyFont="1" applyFill="1" applyBorder="1" applyAlignment="1" applyProtection="1">
      <alignment horizontal="center" vertical="center" wrapText="1"/>
    </xf>
    <xf numFmtId="0" fontId="9" fillId="4" borderId="41" xfId="4" applyFont="1" applyFill="1" applyBorder="1" applyAlignment="1" applyProtection="1">
      <alignment horizontal="center" vertical="center" wrapText="1"/>
    </xf>
    <xf numFmtId="0" fontId="9" fillId="4" borderId="42" xfId="4" applyFont="1" applyFill="1" applyBorder="1" applyAlignment="1" applyProtection="1">
      <alignment horizontal="center" vertical="center" wrapText="1"/>
    </xf>
    <xf numFmtId="0" fontId="5" fillId="0" borderId="0" xfId="4" applyFill="1" applyAlignment="1" applyProtection="1">
      <alignment horizontal="center"/>
    </xf>
    <xf numFmtId="0" fontId="12" fillId="0" borderId="0" xfId="4" applyFont="1" applyFill="1" applyAlignment="1" applyProtection="1">
      <alignment horizontal="center" vertical="center"/>
    </xf>
    <xf numFmtId="0" fontId="11" fillId="0" borderId="0" xfId="4" applyFont="1" applyFill="1" applyAlignment="1" applyProtection="1">
      <alignment horizontal="center" vertical="center"/>
    </xf>
    <xf numFmtId="0" fontId="10" fillId="2" borderId="34" xfId="4" applyFont="1" applyFill="1" applyBorder="1" applyAlignment="1" applyProtection="1">
      <alignment horizontal="center" vertical="center"/>
    </xf>
    <xf numFmtId="0" fontId="10" fillId="2" borderId="35" xfId="4" applyFont="1" applyFill="1" applyBorder="1" applyAlignment="1" applyProtection="1">
      <alignment horizontal="center" vertical="center"/>
    </xf>
    <xf numFmtId="0" fontId="10" fillId="2" borderId="25" xfId="4" applyFont="1" applyFill="1" applyBorder="1" applyAlignment="1" applyProtection="1">
      <alignment horizontal="center" vertical="center"/>
    </xf>
    <xf numFmtId="49" fontId="10" fillId="2" borderId="35" xfId="4" applyNumberFormat="1" applyFont="1" applyFill="1" applyBorder="1" applyAlignment="1" applyProtection="1">
      <alignment horizontal="center" vertical="center"/>
    </xf>
    <xf numFmtId="49" fontId="10" fillId="2" borderId="25" xfId="4" applyNumberFormat="1" applyFont="1" applyFill="1" applyBorder="1" applyAlignment="1" applyProtection="1">
      <alignment horizontal="center" vertical="center"/>
    </xf>
    <xf numFmtId="49" fontId="10" fillId="2" borderId="24" xfId="4" applyNumberFormat="1" applyFont="1" applyFill="1" applyBorder="1" applyAlignment="1" applyProtection="1">
      <alignment horizontal="center" vertical="center"/>
    </xf>
    <xf numFmtId="49" fontId="10" fillId="2" borderId="36" xfId="4" applyNumberFormat="1" applyFont="1" applyFill="1" applyBorder="1" applyAlignment="1" applyProtection="1">
      <alignment horizontal="center" vertical="center"/>
    </xf>
  </cellXfs>
  <cellStyles count="6">
    <cellStyle name="Гиперссылка" xfId="1" builtinId="8"/>
    <cellStyle name="Обычный" xfId="0" builtinId="0"/>
    <cellStyle name="Обычный 2" xfId="2"/>
    <cellStyle name="Обычный 3" xfId="3"/>
    <cellStyle name="Обычный 4" xfId="4"/>
    <cellStyle name="Процентный" xfId="5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https://www.facebook.com/groups/kupolok/" TargetMode="External"/><Relationship Id="rId18" Type="http://schemas.openxmlformats.org/officeDocument/2006/relationships/image" Target="../media/image10.png"/><Relationship Id="rId3" Type="http://schemas.openxmlformats.org/officeDocument/2006/relationships/image" Target="../media/image2.png"/><Relationship Id="rId21" Type="http://schemas.openxmlformats.org/officeDocument/2006/relationships/hyperlink" Target="viber://add/?number=380962152030" TargetMode="External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17" Type="http://schemas.openxmlformats.org/officeDocument/2006/relationships/hyperlink" Target="https://vk.com/82kotiara" TargetMode="External"/><Relationship Id="rId2" Type="http://schemas.openxmlformats.org/officeDocument/2006/relationships/hyperlink" Target="http://kupolok.net/framing/nodal-connections/" TargetMode="External"/><Relationship Id="rId16" Type="http://schemas.openxmlformats.org/officeDocument/2006/relationships/image" Target="../media/image9.png"/><Relationship Id="rId20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hyperlink" Target="http://kupolok.net/framing/&#1087;&#1088;&#1086;&#1077;&#1082;&#1090;&#1080;&#1088;&#1086;&#1074;&#1072;&#1085;&#1080;&#1077;/" TargetMode="External"/><Relationship Id="rId11" Type="http://schemas.openxmlformats.org/officeDocument/2006/relationships/hyperlink" Target="https://www.instagram.com/kotiara82/" TargetMode="External"/><Relationship Id="rId24" Type="http://schemas.openxmlformats.org/officeDocument/2006/relationships/image" Target="../media/image13.png"/><Relationship Id="rId5" Type="http://schemas.openxmlformats.org/officeDocument/2006/relationships/image" Target="../media/image3.png"/><Relationship Id="rId15" Type="http://schemas.openxmlformats.org/officeDocument/2006/relationships/hyperlink" Target="http://kupolok.net/" TargetMode="External"/><Relationship Id="rId23" Type="http://schemas.openxmlformats.org/officeDocument/2006/relationships/hyperlink" Target="https://api.whatsapp.com/send?phone=380962152030" TargetMode="External"/><Relationship Id="rId10" Type="http://schemas.openxmlformats.org/officeDocument/2006/relationships/image" Target="../media/image6.png"/><Relationship Id="rId19" Type="http://schemas.openxmlformats.org/officeDocument/2006/relationships/hyperlink" Target="https://t.me/kupolok" TargetMode="External"/><Relationship Id="rId4" Type="http://schemas.openxmlformats.org/officeDocument/2006/relationships/hyperlink" Target="https://www.youtube.com/user/kotiara82" TargetMode="External"/><Relationship Id="rId9" Type="http://schemas.openxmlformats.org/officeDocument/2006/relationships/hyperlink" Target="mailto:kupolok.net@gmail.com" TargetMode="External"/><Relationship Id="rId14" Type="http://schemas.openxmlformats.org/officeDocument/2006/relationships/image" Target="../media/image8.png"/><Relationship Id="rId22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82550</xdr:rowOff>
    </xdr:from>
    <xdr:to>
      <xdr:col>16</xdr:col>
      <xdr:colOff>654050</xdr:colOff>
      <xdr:row>5</xdr:row>
      <xdr:rowOff>6350</xdr:rowOff>
    </xdr:to>
    <xdr:grpSp>
      <xdr:nvGrpSpPr>
        <xdr:cNvPr id="31542" name="Группа 22"/>
        <xdr:cNvGrpSpPr>
          <a:grpSpLocks/>
        </xdr:cNvGrpSpPr>
      </xdr:nvGrpSpPr>
      <xdr:grpSpPr bwMode="auto">
        <a:xfrm>
          <a:off x="546100" y="364159"/>
          <a:ext cx="8699776" cy="470452"/>
          <a:chOff x="850900" y="9512300"/>
          <a:chExt cx="9156700" cy="469900"/>
        </a:xfrm>
      </xdr:grpSpPr>
      <xdr:pic>
        <xdr:nvPicPr>
          <xdr:cNvPr id="31568" name="Рисунок 46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850900" y="9518650"/>
            <a:ext cx="762000" cy="463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569" name="Рисунок 47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1612900" y="9512300"/>
            <a:ext cx="762000" cy="463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570" name="Рисунок 48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374900" y="9512300"/>
            <a:ext cx="762000" cy="463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571" name="Рисунок 49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3136900" y="9512300"/>
            <a:ext cx="768350" cy="463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572" name="Рисунок 50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3905250" y="9512300"/>
            <a:ext cx="762000" cy="463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573" name="Рисунок 51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4667250" y="9512300"/>
            <a:ext cx="762000" cy="463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574" name="Рисунок 52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5429250" y="9518650"/>
            <a:ext cx="762000" cy="463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575" name="Рисунок 53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6191250" y="9518650"/>
            <a:ext cx="762000" cy="463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576" name="Рисунок 54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6959600" y="9512300"/>
            <a:ext cx="762000" cy="463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577" name="Рисунок 55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7721600" y="9512300"/>
            <a:ext cx="762000" cy="463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578" name="Рисунок 56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8483600" y="9512300"/>
            <a:ext cx="762000" cy="463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579" name="Рисунок 57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9245600" y="9518650"/>
            <a:ext cx="762000" cy="463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109537</xdr:colOff>
      <xdr:row>31</xdr:row>
      <xdr:rowOff>101600</xdr:rowOff>
    </xdr:from>
    <xdr:to>
      <xdr:col>10</xdr:col>
      <xdr:colOff>473728</xdr:colOff>
      <xdr:row>35</xdr:row>
      <xdr:rowOff>8591</xdr:rowOff>
    </xdr:to>
    <xdr:pic>
      <xdr:nvPicPr>
        <xdr:cNvPr id="16" name="Рисунок 15" descr="IMG_20130723_163339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605337" y="4940300"/>
          <a:ext cx="364191" cy="364191"/>
        </a:xfrm>
        <a:prstGeom prst="roundRect">
          <a:avLst>
            <a:gd name="adj" fmla="val 4167"/>
          </a:avLst>
        </a:prstGeom>
        <a:solidFill>
          <a:srgbClr val="FFFFFF"/>
        </a:solidFill>
        <a:ln w="19050" cap="sq">
          <a:solidFill>
            <a:schemeClr val="bg1">
              <a:lumMod val="65000"/>
            </a:schemeClr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  <xdr:twoCellAnchor>
    <xdr:from>
      <xdr:col>10</xdr:col>
      <xdr:colOff>57395</xdr:colOff>
      <xdr:row>2</xdr:row>
      <xdr:rowOff>81125</xdr:rowOff>
    </xdr:from>
    <xdr:to>
      <xdr:col>10</xdr:col>
      <xdr:colOff>540887</xdr:colOff>
      <xdr:row>5</xdr:row>
      <xdr:rowOff>15384</xdr:rowOff>
    </xdr:to>
    <xdr:pic>
      <xdr:nvPicPr>
        <xdr:cNvPr id="25" name="Рисунок 24" descr="IMG_20130723_163339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603995" y="360525"/>
          <a:ext cx="483492" cy="480359"/>
        </a:xfrm>
        <a:prstGeom prst="rect">
          <a:avLst/>
        </a:prstGeom>
        <a:ln>
          <a:noFill/>
        </a:ln>
        <a:effectLst>
          <a:outerShdw blurRad="254000" dist="139700" dir="2700000" algn="tl" rotWithShape="0">
            <a:srgbClr val="333333">
              <a:alpha val="86000"/>
            </a:srgbClr>
          </a:outerShdw>
        </a:effectLst>
      </xdr:spPr>
    </xdr:pic>
    <xdr:clientData/>
  </xdr:twoCellAnchor>
  <xdr:twoCellAnchor>
    <xdr:from>
      <xdr:col>15</xdr:col>
      <xdr:colOff>22971</xdr:colOff>
      <xdr:row>2</xdr:row>
      <xdr:rowOff>63458</xdr:rowOff>
    </xdr:from>
    <xdr:to>
      <xdr:col>15</xdr:col>
      <xdr:colOff>533977</xdr:colOff>
      <xdr:row>5</xdr:row>
      <xdr:rowOff>20217</xdr:rowOff>
    </xdr:to>
    <xdr:pic>
      <xdr:nvPicPr>
        <xdr:cNvPr id="27" name="Рисунок 26" descr="IMG_20130723_163339.jp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935071" y="342858"/>
          <a:ext cx="511006" cy="502859"/>
        </a:xfrm>
        <a:prstGeom prst="rect">
          <a:avLst/>
        </a:prstGeom>
        <a:ln>
          <a:noFill/>
        </a:ln>
        <a:effectLst>
          <a:outerShdw blurRad="254000" dist="139700" dir="2700000" algn="tl" rotWithShape="0">
            <a:srgbClr val="333333">
              <a:alpha val="99000"/>
            </a:srgbClr>
          </a:outerShdw>
        </a:effectLst>
      </xdr:spPr>
    </xdr:pic>
    <xdr:clientData/>
  </xdr:twoCellAnchor>
  <xdr:twoCellAnchor>
    <xdr:from>
      <xdr:col>16</xdr:col>
      <xdr:colOff>150124</xdr:colOff>
      <xdr:row>2</xdr:row>
      <xdr:rowOff>83262</xdr:rowOff>
    </xdr:from>
    <xdr:to>
      <xdr:col>16</xdr:col>
      <xdr:colOff>649062</xdr:colOff>
      <xdr:row>5</xdr:row>
      <xdr:rowOff>24306</xdr:rowOff>
    </xdr:to>
    <xdr:pic>
      <xdr:nvPicPr>
        <xdr:cNvPr id="32" name="Рисунок 31" descr="IMG_20130723_163339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735324" y="362662"/>
          <a:ext cx="498938" cy="487144"/>
        </a:xfrm>
        <a:prstGeom prst="rect">
          <a:avLst/>
        </a:prstGeom>
        <a:ln>
          <a:noFill/>
        </a:ln>
        <a:effectLst>
          <a:outerShdw blurRad="254000" dir="2160000" algn="tl" rotWithShape="0">
            <a:srgbClr val="333333"/>
          </a:outerShdw>
        </a:effectLst>
      </xdr:spPr>
    </xdr:pic>
    <xdr:clientData/>
  </xdr:twoCellAnchor>
  <xdr:twoCellAnchor>
    <xdr:from>
      <xdr:col>6</xdr:col>
      <xdr:colOff>209219</xdr:colOff>
      <xdr:row>2</xdr:row>
      <xdr:rowOff>67791</xdr:rowOff>
    </xdr:from>
    <xdr:to>
      <xdr:col>7</xdr:col>
      <xdr:colOff>19828</xdr:colOff>
      <xdr:row>5</xdr:row>
      <xdr:rowOff>2060</xdr:rowOff>
    </xdr:to>
    <xdr:pic>
      <xdr:nvPicPr>
        <xdr:cNvPr id="34" name="Рисунок 33" descr="IMG_20130723_163339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64523" y="349400"/>
          <a:ext cx="484262" cy="480921"/>
        </a:xfrm>
        <a:prstGeom prst="rect">
          <a:avLst/>
        </a:prstGeom>
        <a:ln>
          <a:noFill/>
        </a:ln>
        <a:effectLst>
          <a:outerShdw blurRad="254000" dist="139700" dir="2700000" algn="tl" rotWithShape="0">
            <a:srgbClr val="333333">
              <a:alpha val="86000"/>
            </a:srgbClr>
          </a:outerShdw>
        </a:effectLst>
      </xdr:spPr>
    </xdr:pic>
    <xdr:clientData/>
  </xdr:twoCellAnchor>
  <xdr:twoCellAnchor>
    <xdr:from>
      <xdr:col>7</xdr:col>
      <xdr:colOff>369809</xdr:colOff>
      <xdr:row>2</xdr:row>
      <xdr:rowOff>61936</xdr:rowOff>
    </xdr:from>
    <xdr:to>
      <xdr:col>8</xdr:col>
      <xdr:colOff>197881</xdr:colOff>
      <xdr:row>5</xdr:row>
      <xdr:rowOff>16317</xdr:rowOff>
    </xdr:to>
    <xdr:pic>
      <xdr:nvPicPr>
        <xdr:cNvPr id="38" name="Рисунок 37" descr="IMG_20130723_163339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98766" y="343545"/>
          <a:ext cx="501724" cy="501033"/>
        </a:xfrm>
        <a:prstGeom prst="rect">
          <a:avLst/>
        </a:prstGeom>
        <a:ln>
          <a:noFill/>
        </a:ln>
        <a:effectLst>
          <a:outerShdw blurRad="254000" dist="139700" dir="2700000" algn="tl" rotWithShape="0">
            <a:srgbClr val="333333">
              <a:alpha val="86000"/>
            </a:srgbClr>
          </a:outerShdw>
        </a:effectLst>
      </xdr:spPr>
    </xdr:pic>
    <xdr:clientData/>
  </xdr:twoCellAnchor>
  <xdr:twoCellAnchor>
    <xdr:from>
      <xdr:col>8</xdr:col>
      <xdr:colOff>544886</xdr:colOff>
      <xdr:row>2</xdr:row>
      <xdr:rowOff>74239</xdr:rowOff>
    </xdr:from>
    <xdr:to>
      <xdr:col>9</xdr:col>
      <xdr:colOff>353183</xdr:colOff>
      <xdr:row>5</xdr:row>
      <xdr:rowOff>5432</xdr:rowOff>
    </xdr:to>
    <xdr:pic>
      <xdr:nvPicPr>
        <xdr:cNvPr id="39" name="Рисунок 38" descr="IMG_20130723_163339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747495" y="355848"/>
          <a:ext cx="481949" cy="477845"/>
        </a:xfrm>
        <a:prstGeom prst="rect">
          <a:avLst/>
        </a:prstGeom>
        <a:ln>
          <a:noFill/>
        </a:ln>
        <a:effectLst>
          <a:outerShdw blurRad="254000" dist="139700" dir="2700000" algn="tl" rotWithShape="0">
            <a:srgbClr val="333333">
              <a:alpha val="86000"/>
            </a:srgbClr>
          </a:outerShdw>
        </a:effectLst>
      </xdr:spPr>
    </xdr:pic>
    <xdr:clientData/>
  </xdr:twoCellAnchor>
  <xdr:twoCellAnchor>
    <xdr:from>
      <xdr:col>4</xdr:col>
      <xdr:colOff>11711</xdr:colOff>
      <xdr:row>2</xdr:row>
      <xdr:rowOff>69092</xdr:rowOff>
    </xdr:from>
    <xdr:to>
      <xdr:col>4</xdr:col>
      <xdr:colOff>534737</xdr:colOff>
      <xdr:row>5</xdr:row>
      <xdr:rowOff>34521</xdr:rowOff>
    </xdr:to>
    <xdr:pic>
      <xdr:nvPicPr>
        <xdr:cNvPr id="44" name="Рисунок 43" descr="IMG_20130723_163339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19711" y="349829"/>
          <a:ext cx="523026" cy="513534"/>
        </a:xfrm>
        <a:prstGeom prst="rect">
          <a:avLst/>
        </a:prstGeom>
        <a:ln>
          <a:noFill/>
        </a:ln>
        <a:effectLst>
          <a:outerShdw blurRad="254000" dist="139700" dir="2700000" algn="tl" rotWithShape="0">
            <a:srgbClr val="333333">
              <a:alpha val="86000"/>
            </a:srgbClr>
          </a:outerShdw>
        </a:effectLst>
      </xdr:spPr>
    </xdr:pic>
    <xdr:clientData/>
  </xdr:twoCellAnchor>
  <xdr:twoCellAnchor>
    <xdr:from>
      <xdr:col>5</xdr:col>
      <xdr:colOff>97715</xdr:colOff>
      <xdr:row>2</xdr:row>
      <xdr:rowOff>65206</xdr:rowOff>
    </xdr:from>
    <xdr:to>
      <xdr:col>5</xdr:col>
      <xdr:colOff>610286</xdr:colOff>
      <xdr:row>5</xdr:row>
      <xdr:rowOff>27021</xdr:rowOff>
    </xdr:to>
    <xdr:pic>
      <xdr:nvPicPr>
        <xdr:cNvPr id="45" name="Рисунок 44" descr="IMG_20130723_163339.jpg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79367" y="346815"/>
          <a:ext cx="512571" cy="508467"/>
        </a:xfrm>
        <a:prstGeom prst="rect">
          <a:avLst/>
        </a:prstGeom>
        <a:ln>
          <a:noFill/>
        </a:ln>
        <a:effectLst>
          <a:outerShdw blurRad="254000" dist="139700" dir="2700000" algn="tl" rotWithShape="0">
            <a:srgbClr val="333333">
              <a:alpha val="86000"/>
            </a:srgbClr>
          </a:outerShdw>
        </a:effectLst>
      </xdr:spPr>
    </xdr:pic>
    <xdr:clientData/>
  </xdr:twoCellAnchor>
  <xdr:twoCellAnchor>
    <xdr:from>
      <xdr:col>4</xdr:col>
      <xdr:colOff>12700</xdr:colOff>
      <xdr:row>62</xdr:row>
      <xdr:rowOff>63500</xdr:rowOff>
    </xdr:from>
    <xdr:to>
      <xdr:col>16</xdr:col>
      <xdr:colOff>628650</xdr:colOff>
      <xdr:row>64</xdr:row>
      <xdr:rowOff>76200</xdr:rowOff>
    </xdr:to>
    <xdr:grpSp>
      <xdr:nvGrpSpPr>
        <xdr:cNvPr id="31552" name="Группа 22"/>
        <xdr:cNvGrpSpPr>
          <a:grpSpLocks/>
        </xdr:cNvGrpSpPr>
      </xdr:nvGrpSpPr>
      <xdr:grpSpPr bwMode="auto">
        <a:xfrm>
          <a:off x="520700" y="8682935"/>
          <a:ext cx="8699776" cy="471004"/>
          <a:chOff x="850900" y="9512300"/>
          <a:chExt cx="9156700" cy="469900"/>
        </a:xfrm>
      </xdr:grpSpPr>
      <xdr:pic>
        <xdr:nvPicPr>
          <xdr:cNvPr id="31556" name="Рисунок 46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850900" y="9518650"/>
            <a:ext cx="762000" cy="463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557" name="Рисунок 47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1612900" y="9512300"/>
            <a:ext cx="762000" cy="463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558" name="Рисунок 48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374900" y="9512300"/>
            <a:ext cx="762000" cy="463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559" name="Рисунок 49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3136900" y="9512300"/>
            <a:ext cx="768350" cy="463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560" name="Рисунок 50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3905250" y="9512300"/>
            <a:ext cx="762000" cy="463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561" name="Рисунок 51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4667250" y="9512300"/>
            <a:ext cx="762000" cy="463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562" name="Рисунок 52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5429250" y="9518650"/>
            <a:ext cx="762000" cy="463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563" name="Рисунок 53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6191250" y="9518650"/>
            <a:ext cx="762000" cy="463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564" name="Рисунок 54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6959600" y="9512300"/>
            <a:ext cx="762000" cy="463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565" name="Рисунок 55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7721600" y="9512300"/>
            <a:ext cx="762000" cy="463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566" name="Рисунок 56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8483600" y="9512300"/>
            <a:ext cx="762000" cy="463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567" name="Рисунок 57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9245600" y="9518650"/>
            <a:ext cx="762000" cy="463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11</xdr:col>
      <xdr:colOff>242337</xdr:colOff>
      <xdr:row>2</xdr:row>
      <xdr:rowOff>80457</xdr:rowOff>
    </xdr:from>
    <xdr:to>
      <xdr:col>12</xdr:col>
      <xdr:colOff>52937</xdr:colOff>
      <xdr:row>5</xdr:row>
      <xdr:rowOff>14716</xdr:rowOff>
    </xdr:to>
    <xdr:pic>
      <xdr:nvPicPr>
        <xdr:cNvPr id="37" name="Рисунок 36" descr="IMG_20130723_163339.jpg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62037" y="359857"/>
          <a:ext cx="483700" cy="480359"/>
        </a:xfrm>
        <a:prstGeom prst="rect">
          <a:avLst/>
        </a:prstGeom>
        <a:ln>
          <a:noFill/>
        </a:ln>
        <a:effectLst>
          <a:outerShdw blurRad="254000" dist="139700" dir="2700000" algn="tl" rotWithShape="0">
            <a:srgbClr val="333333">
              <a:alpha val="86000"/>
            </a:srgbClr>
          </a:outerShdw>
        </a:effectLst>
      </xdr:spPr>
    </xdr:pic>
    <xdr:clientData/>
  </xdr:twoCellAnchor>
  <xdr:twoCellAnchor>
    <xdr:from>
      <xdr:col>12</xdr:col>
      <xdr:colOff>457251</xdr:colOff>
      <xdr:row>2</xdr:row>
      <xdr:rowOff>79951</xdr:rowOff>
    </xdr:from>
    <xdr:to>
      <xdr:col>13</xdr:col>
      <xdr:colOff>263367</xdr:colOff>
      <xdr:row>5</xdr:row>
      <xdr:rowOff>16686</xdr:rowOff>
    </xdr:to>
    <xdr:pic>
      <xdr:nvPicPr>
        <xdr:cNvPr id="40" name="Рисунок 39" descr="IMG_20130723_163339.jpg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350051" y="359351"/>
          <a:ext cx="479216" cy="482835"/>
        </a:xfrm>
        <a:prstGeom prst="rect">
          <a:avLst/>
        </a:prstGeom>
        <a:ln>
          <a:noFill/>
        </a:ln>
        <a:effectLst>
          <a:outerShdw blurRad="254000" dist="139700" dir="2700000" algn="tl" rotWithShape="0">
            <a:srgbClr val="333333">
              <a:alpha val="86000"/>
            </a:srgbClr>
          </a:outerShdw>
        </a:effectLst>
      </xdr:spPr>
    </xdr:pic>
    <xdr:clientData/>
  </xdr:twoCellAnchor>
  <xdr:twoCellAnchor>
    <xdr:from>
      <xdr:col>13</xdr:col>
      <xdr:colOff>590895</xdr:colOff>
      <xdr:row>2</xdr:row>
      <xdr:rowOff>71193</xdr:rowOff>
    </xdr:from>
    <xdr:to>
      <xdr:col>14</xdr:col>
      <xdr:colOff>397012</xdr:colOff>
      <xdr:row>5</xdr:row>
      <xdr:rowOff>6833</xdr:rowOff>
    </xdr:to>
    <xdr:pic>
      <xdr:nvPicPr>
        <xdr:cNvPr id="41" name="Рисунок 40" descr="IMG_20130723_163339.jpg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156795" y="350593"/>
          <a:ext cx="479217" cy="481740"/>
        </a:xfrm>
        <a:prstGeom prst="rect">
          <a:avLst/>
        </a:prstGeom>
        <a:ln>
          <a:noFill/>
        </a:ln>
        <a:effectLst>
          <a:outerShdw blurRad="254000" dist="139700" dir="2700000" algn="tl" rotWithShape="0">
            <a:srgbClr val="333333">
              <a:alpha val="86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139700</xdr:colOff>
      <xdr:row>0</xdr:row>
      <xdr:rowOff>31750</xdr:rowOff>
    </xdr:from>
    <xdr:to>
      <xdr:col>28</xdr:col>
      <xdr:colOff>101600</xdr:colOff>
      <xdr:row>39</xdr:row>
      <xdr:rowOff>184150</xdr:rowOff>
    </xdr:to>
    <xdr:pic>
      <xdr:nvPicPr>
        <xdr:cNvPr id="1478" name="Рисунок 16" descr="свая тисэ_1_1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0" y="31750"/>
          <a:ext cx="3282950" cy="676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311524</xdr:colOff>
      <xdr:row>20</xdr:row>
      <xdr:rowOff>0</xdr:rowOff>
    </xdr:from>
    <xdr:to>
      <xdr:col>17</xdr:col>
      <xdr:colOff>0</xdr:colOff>
      <xdr:row>66</xdr:row>
      <xdr:rowOff>74332</xdr:rowOff>
    </xdr:to>
    <xdr:pic>
      <xdr:nvPicPr>
        <xdr:cNvPr id="7606" name="Рисунок 7" descr="Ящики_1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04465" y="3040529"/>
          <a:ext cx="7995770" cy="7290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0</xdr:rowOff>
    </xdr:from>
    <xdr:to>
      <xdr:col>5</xdr:col>
      <xdr:colOff>152400</xdr:colOff>
      <xdr:row>4</xdr:row>
      <xdr:rowOff>215900</xdr:rowOff>
    </xdr:to>
    <xdr:pic>
      <xdr:nvPicPr>
        <xdr:cNvPr id="1170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0650" y="0"/>
          <a:ext cx="3054350" cy="85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54;&#1050;&#1059;&#1052;&#1045;&#1053;&#1058;&#1067;/&#1082;&#1091;&#1087;&#1086;&#1083;&#1072;/&#1050;&#1074;&#1072;&#1076;&#1088;&#1072;&#1090;&#1086;&#1082;&#1091;&#1087;&#1086;&#1083;/&#1087;&#1088;&#1086;&#1077;&#1082;&#1090;%20&#1082;&#1091;&#1087;&#1086;&#1083;&#1072;%205%20&#1095;&#1072;&#1089;&#1090;&#1086;&#1090;&#1072;/&#1089;&#1096;&#1080;&#1074;&#1072;&#1077;&#1084;/&#1075;&#1086;&#1090;&#1086;&#1074;&#1099;&#1081;/&#1057;&#1084;&#1077;&#1090;&#1072;%20&#1082;&#1074;&#1072;&#1076;&#1088;&#1072;&#1090;&#1086;&#1082;&#1091;&#1087;&#1086;&#1083;&#1072;%2012%20&#1084;&#1077;&#1090;&#1088;&#1086;&#1074;_5%20&#1095;&#1072;&#1089;&#1090;&#1086;&#1090;&#1072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р.мес.Т"/>
      <sheetName val="Общая смета"/>
      <sheetName val="Район фунд."/>
      <sheetName val="Лист2 (2)"/>
      <sheetName val="Смета фундамента"/>
      <sheetName val="Купол"/>
      <sheetName val="козырёк"/>
      <sheetName val="Перекрытия 1"/>
      <sheetName val="Перекрытие2"/>
      <sheetName val="Стены2"/>
      <sheetName val="Башня"/>
      <sheetName val="Доставка"/>
      <sheetName val="Стены 1"/>
      <sheetName val="из город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R4" t="str">
            <v>1 стена с окнами</v>
          </cell>
        </row>
        <row r="5">
          <cell r="R5" t="str">
            <v>2 стены с окнами</v>
          </cell>
        </row>
        <row r="6">
          <cell r="R6" t="str">
            <v>3 стены с окнами</v>
          </cell>
        </row>
        <row r="7">
          <cell r="R7" t="str">
            <v>4 стены с окнами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rateksib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-geo.com/geo-fennel-fl-100ha" TargetMode="External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/>
  <dimension ref="A1:BP1321"/>
  <sheetViews>
    <sheetView workbookViewId="0">
      <pane ySplit="4" topLeftCell="A5" activePane="bottomLeft" state="frozen"/>
      <selection pane="bottomLeft" activeCell="C4" sqref="C4"/>
    </sheetView>
  </sheetViews>
  <sheetFormatPr defaultColWidth="5.81640625" defaultRowHeight="14.25" customHeight="1" outlineLevelRow="1" outlineLevelCol="1"/>
  <cols>
    <col min="1" max="1" width="5.81640625" style="2"/>
    <col min="2" max="2" width="5.81640625" style="4"/>
    <col min="3" max="3" width="6" style="4" customWidth="1"/>
    <col min="4" max="4" width="7" style="4" customWidth="1"/>
    <col min="5" max="5" width="25.453125" style="4" customWidth="1"/>
    <col min="6" max="17" width="5.81640625" style="2" customWidth="1"/>
    <col min="18" max="18" width="8.453125" style="2" customWidth="1"/>
    <col min="19" max="19" width="3.81640625" style="2" hidden="1" customWidth="1" outlineLevel="1"/>
    <col min="20" max="20" width="18.1796875" style="4" hidden="1" customWidth="1" outlineLevel="1"/>
    <col min="21" max="21" width="6" style="2" customWidth="1" collapsed="1"/>
    <col min="22" max="35" width="6" style="2" customWidth="1"/>
    <col min="36" max="36" width="7.54296875" style="2" customWidth="1"/>
    <col min="37" max="37" width="5.81640625" style="2" customWidth="1"/>
    <col min="38" max="39" width="6" style="2" customWidth="1"/>
    <col min="40" max="40" width="5.81640625" style="3" hidden="1" customWidth="1" outlineLevel="1" collapsed="1"/>
    <col min="41" max="41" width="12.81640625" style="4" hidden="1" customWidth="1" outlineLevel="1"/>
    <col min="42" max="42" width="5.81640625" style="2" customWidth="1" collapsed="1"/>
    <col min="43" max="53" width="5.81640625" style="2" customWidth="1"/>
    <col min="54" max="54" width="4.453125" style="3" hidden="1" customWidth="1" outlineLevel="1"/>
    <col min="55" max="55" width="10.81640625" style="2" hidden="1" customWidth="1" outlineLevel="1"/>
    <col min="56" max="56" width="5.81640625" style="2" collapsed="1"/>
    <col min="57" max="16384" width="5.81640625" style="2"/>
  </cols>
  <sheetData>
    <row r="1" spans="1:68" ht="14.25" customHeight="1">
      <c r="A1" s="12"/>
      <c r="B1" s="463" t="s">
        <v>2028</v>
      </c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14"/>
      <c r="T1" s="461" t="s">
        <v>2027</v>
      </c>
      <c r="U1" s="461"/>
      <c r="V1" s="461"/>
      <c r="W1" s="461"/>
      <c r="X1" s="461"/>
      <c r="Y1" s="461"/>
      <c r="Z1" s="461"/>
      <c r="AA1" s="461"/>
      <c r="AB1" s="461"/>
      <c r="AC1" s="461"/>
      <c r="AD1" s="461"/>
      <c r="AE1" s="461"/>
      <c r="AF1" s="461"/>
      <c r="AG1" s="461"/>
      <c r="AH1" s="461"/>
      <c r="AI1" s="461"/>
      <c r="AJ1" s="461"/>
      <c r="AK1" s="461"/>
      <c r="AL1" s="461"/>
      <c r="AM1" s="461"/>
      <c r="AN1" s="9"/>
      <c r="AO1" s="461" t="s">
        <v>2026</v>
      </c>
      <c r="AP1" s="461"/>
      <c r="AQ1" s="461"/>
      <c r="AR1" s="461"/>
      <c r="AS1" s="461"/>
      <c r="AT1" s="461"/>
      <c r="AU1" s="461"/>
      <c r="AV1" s="461"/>
      <c r="AW1" s="461"/>
      <c r="AX1" s="461"/>
      <c r="AY1" s="461"/>
      <c r="AZ1" s="461"/>
      <c r="BA1" s="461"/>
      <c r="BB1" s="9"/>
      <c r="BC1" s="454" t="s">
        <v>2025</v>
      </c>
      <c r="BD1" s="455"/>
      <c r="BE1" s="455"/>
      <c r="BF1" s="455"/>
      <c r="BG1" s="455"/>
      <c r="BH1" s="455"/>
      <c r="BI1" s="455"/>
      <c r="BJ1" s="455"/>
      <c r="BK1" s="455"/>
      <c r="BL1" s="455"/>
      <c r="BM1" s="455"/>
      <c r="BN1" s="455"/>
      <c r="BO1" s="455"/>
      <c r="BP1" s="456"/>
    </row>
    <row r="2" spans="1:68" ht="14.25" customHeight="1">
      <c r="A2" s="12"/>
      <c r="B2" s="463"/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3"/>
      <c r="R2" s="463"/>
      <c r="S2" s="14"/>
      <c r="T2" s="462" t="s">
        <v>2024</v>
      </c>
      <c r="U2" s="462" t="s">
        <v>2023</v>
      </c>
      <c r="V2" s="462"/>
      <c r="W2" s="462" t="s">
        <v>2022</v>
      </c>
      <c r="X2" s="462"/>
      <c r="Y2" s="462" t="s">
        <v>2021</v>
      </c>
      <c r="Z2" s="462" t="s">
        <v>2020</v>
      </c>
      <c r="AA2" s="462" t="s">
        <v>2019</v>
      </c>
      <c r="AB2" s="462" t="s">
        <v>2018</v>
      </c>
      <c r="AC2" s="462"/>
      <c r="AD2" s="462"/>
      <c r="AE2" s="462"/>
      <c r="AF2" s="462"/>
      <c r="AG2" s="462"/>
      <c r="AH2" s="462" t="s">
        <v>2017</v>
      </c>
      <c r="AI2" s="462" t="s">
        <v>2016</v>
      </c>
      <c r="AJ2" s="462" t="s">
        <v>2015</v>
      </c>
      <c r="AK2" s="462" t="s">
        <v>2014</v>
      </c>
      <c r="AL2" s="462" t="s">
        <v>2013</v>
      </c>
      <c r="AM2" s="462" t="s">
        <v>2012</v>
      </c>
      <c r="AN2" s="9"/>
      <c r="AO2" s="462" t="s">
        <v>2011</v>
      </c>
      <c r="AP2" s="460" t="s">
        <v>2010</v>
      </c>
      <c r="AQ2" s="460" t="s">
        <v>2009</v>
      </c>
      <c r="AR2" s="460" t="s">
        <v>2008</v>
      </c>
      <c r="AS2" s="460" t="s">
        <v>2007</v>
      </c>
      <c r="AT2" s="460" t="s">
        <v>2006</v>
      </c>
      <c r="AU2" s="460" t="s">
        <v>2005</v>
      </c>
      <c r="AV2" s="460" t="s">
        <v>2004</v>
      </c>
      <c r="AW2" s="460" t="s">
        <v>2003</v>
      </c>
      <c r="AX2" s="460" t="s">
        <v>2002</v>
      </c>
      <c r="AY2" s="460" t="s">
        <v>2001</v>
      </c>
      <c r="AZ2" s="460" t="s">
        <v>2000</v>
      </c>
      <c r="BA2" s="460" t="s">
        <v>1999</v>
      </c>
      <c r="BB2" s="19"/>
      <c r="BC2" s="457"/>
      <c r="BD2" s="458"/>
      <c r="BE2" s="458"/>
      <c r="BF2" s="458"/>
      <c r="BG2" s="458"/>
      <c r="BH2" s="458"/>
      <c r="BI2" s="458"/>
      <c r="BJ2" s="458"/>
      <c r="BK2" s="458"/>
      <c r="BL2" s="458"/>
      <c r="BM2" s="458"/>
      <c r="BN2" s="458"/>
      <c r="BO2" s="458"/>
      <c r="BP2" s="459"/>
    </row>
    <row r="3" spans="1:68" ht="14.25" customHeight="1">
      <c r="A3" s="12"/>
      <c r="B3" s="24"/>
      <c r="C3" s="22" t="s">
        <v>1998</v>
      </c>
      <c r="D3" s="22" t="s">
        <v>1997</v>
      </c>
      <c r="E3" s="22" t="s">
        <v>1996</v>
      </c>
      <c r="F3" s="23" t="s">
        <v>1995</v>
      </c>
      <c r="G3" s="23" t="s">
        <v>1994</v>
      </c>
      <c r="H3" s="23" t="s">
        <v>1993</v>
      </c>
      <c r="I3" s="23" t="s">
        <v>1992</v>
      </c>
      <c r="J3" s="23" t="s">
        <v>1991</v>
      </c>
      <c r="K3" s="23" t="s">
        <v>1990</v>
      </c>
      <c r="L3" s="23" t="s">
        <v>1989</v>
      </c>
      <c r="M3" s="23" t="s">
        <v>1973</v>
      </c>
      <c r="N3" s="23" t="s">
        <v>1988</v>
      </c>
      <c r="O3" s="23" t="s">
        <v>1987</v>
      </c>
      <c r="P3" s="23" t="s">
        <v>1986</v>
      </c>
      <c r="Q3" s="23" t="s">
        <v>1985</v>
      </c>
      <c r="R3" s="23" t="s">
        <v>1984</v>
      </c>
      <c r="S3" s="14"/>
      <c r="T3" s="462"/>
      <c r="U3" s="22">
        <v>0.98</v>
      </c>
      <c r="V3" s="22">
        <v>0.92</v>
      </c>
      <c r="W3" s="22">
        <v>0.98</v>
      </c>
      <c r="X3" s="22">
        <v>0.92</v>
      </c>
      <c r="Y3" s="462"/>
      <c r="Z3" s="462"/>
      <c r="AA3" s="462"/>
      <c r="AB3" s="22" t="s">
        <v>1983</v>
      </c>
      <c r="AC3" s="22" t="s">
        <v>1982</v>
      </c>
      <c r="AD3" s="22" t="s">
        <v>1983</v>
      </c>
      <c r="AE3" s="22" t="s">
        <v>1982</v>
      </c>
      <c r="AF3" s="22" t="s">
        <v>1983</v>
      </c>
      <c r="AG3" s="22" t="s">
        <v>1982</v>
      </c>
      <c r="AH3" s="462"/>
      <c r="AI3" s="462"/>
      <c r="AJ3" s="462"/>
      <c r="AK3" s="462"/>
      <c r="AL3" s="462"/>
      <c r="AM3" s="462"/>
      <c r="AN3" s="20"/>
      <c r="AO3" s="462"/>
      <c r="AP3" s="460"/>
      <c r="AQ3" s="460"/>
      <c r="AR3" s="460"/>
      <c r="AS3" s="460"/>
      <c r="AT3" s="460"/>
      <c r="AU3" s="460"/>
      <c r="AV3" s="460"/>
      <c r="AW3" s="460"/>
      <c r="AX3" s="460"/>
      <c r="AY3" s="460"/>
      <c r="AZ3" s="460"/>
      <c r="BA3" s="460"/>
      <c r="BB3" s="19"/>
      <c r="BC3" s="22" t="s">
        <v>1981</v>
      </c>
      <c r="BD3" s="22" t="s">
        <v>1980</v>
      </c>
      <c r="BE3" s="22" t="s">
        <v>1979</v>
      </c>
      <c r="BF3" s="22" t="s">
        <v>1978</v>
      </c>
      <c r="BG3" s="22" t="s">
        <v>1977</v>
      </c>
      <c r="BH3" s="22" t="s">
        <v>1976</v>
      </c>
      <c r="BI3" s="22" t="s">
        <v>1975</v>
      </c>
      <c r="BJ3" s="22" t="s">
        <v>1974</v>
      </c>
      <c r="BK3" s="22" t="s">
        <v>1973</v>
      </c>
      <c r="BL3" s="22" t="s">
        <v>1972</v>
      </c>
      <c r="BM3" s="22" t="s">
        <v>1971</v>
      </c>
      <c r="BN3" s="22" t="s">
        <v>1970</v>
      </c>
      <c r="BO3" s="22" t="s">
        <v>1969</v>
      </c>
      <c r="BP3" s="22" t="s">
        <v>1968</v>
      </c>
    </row>
    <row r="4" spans="1:68" ht="14.25" customHeight="1">
      <c r="A4" s="12"/>
      <c r="B4" s="19"/>
      <c r="C4" s="19" t="s">
        <v>1967</v>
      </c>
      <c r="D4" s="19" t="s">
        <v>1966</v>
      </c>
      <c r="E4" s="18" t="s">
        <v>1965</v>
      </c>
      <c r="F4" s="21">
        <v>2</v>
      </c>
      <c r="G4" s="21">
        <v>3</v>
      </c>
      <c r="H4" s="21">
        <v>4</v>
      </c>
      <c r="I4" s="21">
        <v>5</v>
      </c>
      <c r="J4" s="21">
        <v>6</v>
      </c>
      <c r="K4" s="21">
        <v>7</v>
      </c>
      <c r="L4" s="21">
        <v>8</v>
      </c>
      <c r="M4" s="21">
        <v>9</v>
      </c>
      <c r="N4" s="21">
        <v>10</v>
      </c>
      <c r="O4" s="21">
        <v>11</v>
      </c>
      <c r="P4" s="21">
        <v>12</v>
      </c>
      <c r="Q4" s="21">
        <v>13</v>
      </c>
      <c r="R4" s="21">
        <v>14</v>
      </c>
      <c r="S4" s="14"/>
      <c r="T4" s="18">
        <v>1</v>
      </c>
      <c r="U4" s="18">
        <v>2</v>
      </c>
      <c r="V4" s="18">
        <v>3</v>
      </c>
      <c r="W4" s="18">
        <v>4</v>
      </c>
      <c r="X4" s="18">
        <v>5</v>
      </c>
      <c r="Y4" s="18">
        <v>6</v>
      </c>
      <c r="Z4" s="18">
        <v>7</v>
      </c>
      <c r="AA4" s="18">
        <v>8</v>
      </c>
      <c r="AB4" s="18">
        <v>9</v>
      </c>
      <c r="AC4" s="18">
        <v>10</v>
      </c>
      <c r="AD4" s="18">
        <v>11</v>
      </c>
      <c r="AE4" s="18">
        <v>12</v>
      </c>
      <c r="AF4" s="18">
        <v>13</v>
      </c>
      <c r="AG4" s="18">
        <v>14</v>
      </c>
      <c r="AH4" s="18">
        <v>15</v>
      </c>
      <c r="AI4" s="18">
        <v>16</v>
      </c>
      <c r="AJ4" s="18">
        <v>17</v>
      </c>
      <c r="AK4" s="18">
        <v>18</v>
      </c>
      <c r="AL4" s="18">
        <v>19</v>
      </c>
      <c r="AM4" s="18">
        <v>20</v>
      </c>
      <c r="AN4" s="20"/>
      <c r="AO4" s="18">
        <v>1</v>
      </c>
      <c r="AP4" s="18">
        <v>2</v>
      </c>
      <c r="AQ4" s="18">
        <v>3</v>
      </c>
      <c r="AR4" s="18">
        <v>4</v>
      </c>
      <c r="AS4" s="18">
        <v>5</v>
      </c>
      <c r="AT4" s="18">
        <v>6</v>
      </c>
      <c r="AU4" s="18">
        <v>7</v>
      </c>
      <c r="AV4" s="18">
        <v>8</v>
      </c>
      <c r="AW4" s="18">
        <v>9</v>
      </c>
      <c r="AX4" s="18">
        <v>10</v>
      </c>
      <c r="AY4" s="18">
        <v>11</v>
      </c>
      <c r="AZ4" s="18">
        <v>12</v>
      </c>
      <c r="BA4" s="18">
        <v>13</v>
      </c>
      <c r="BB4" s="19"/>
      <c r="BC4" s="18">
        <v>1</v>
      </c>
      <c r="BD4" s="18">
        <v>2</v>
      </c>
      <c r="BE4" s="18">
        <v>3</v>
      </c>
      <c r="BF4" s="18">
        <v>4</v>
      </c>
      <c r="BG4" s="18">
        <v>5</v>
      </c>
      <c r="BH4" s="18">
        <v>6</v>
      </c>
      <c r="BI4" s="18">
        <v>7</v>
      </c>
      <c r="BJ4" s="18">
        <v>8</v>
      </c>
      <c r="BK4" s="18">
        <v>9</v>
      </c>
      <c r="BL4" s="18">
        <v>10</v>
      </c>
      <c r="BM4" s="18">
        <v>11</v>
      </c>
      <c r="BN4" s="18">
        <v>12</v>
      </c>
      <c r="BO4" s="18">
        <v>13</v>
      </c>
      <c r="BP4" s="18">
        <v>14</v>
      </c>
    </row>
    <row r="5" spans="1:68" ht="14.25" hidden="1" customHeight="1" outlineLevel="1">
      <c r="A5" s="12"/>
      <c r="B5" s="19"/>
      <c r="C5" s="19"/>
      <c r="D5" s="19"/>
      <c r="E5" s="18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14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20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9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</row>
    <row r="6" spans="1:68" ht="14.25" hidden="1" customHeight="1" outlineLevel="1">
      <c r="A6" s="12"/>
      <c r="B6" s="19"/>
      <c r="C6" s="19"/>
      <c r="D6" s="19"/>
      <c r="E6" s="18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14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20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9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7" spans="1:68" ht="14.25" hidden="1" customHeight="1" outlineLevel="1">
      <c r="A7" s="12"/>
      <c r="B7" s="19"/>
      <c r="C7" s="19"/>
      <c r="D7" s="19"/>
      <c r="E7" s="18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14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20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9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</row>
    <row r="8" spans="1:68" ht="14.25" hidden="1" customHeight="1" outlineLevel="1">
      <c r="A8" s="12"/>
      <c r="B8" s="19"/>
      <c r="C8" s="19"/>
      <c r="D8" s="19"/>
      <c r="E8" s="18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14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20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9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</row>
    <row r="9" spans="1:68" ht="14.25" hidden="1" customHeight="1" outlineLevel="1">
      <c r="A9" s="12"/>
      <c r="B9" s="19"/>
      <c r="C9" s="19"/>
      <c r="D9" s="19"/>
      <c r="E9" s="18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14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20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9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</row>
    <row r="10" spans="1:68" ht="14.25" hidden="1" customHeight="1" outlineLevel="1">
      <c r="A10" s="12"/>
      <c r="B10" s="19"/>
      <c r="C10" s="19"/>
      <c r="D10" s="19"/>
      <c r="E10" s="18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14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20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9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</row>
    <row r="11" spans="1:68" ht="14.25" hidden="1" customHeight="1" outlineLevel="1">
      <c r="A11" s="12"/>
      <c r="B11" s="19"/>
      <c r="C11" s="19"/>
      <c r="D11" s="19"/>
      <c r="E11" s="18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14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20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9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</row>
    <row r="12" spans="1:68" ht="14.25" hidden="1" customHeight="1" outlineLevel="1">
      <c r="A12" s="12"/>
      <c r="B12" s="19"/>
      <c r="C12" s="19"/>
      <c r="D12" s="19"/>
      <c r="E12" s="18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14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20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9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</row>
    <row r="13" spans="1:68" ht="14.25" hidden="1" customHeight="1" outlineLevel="1">
      <c r="A13" s="12"/>
      <c r="B13" s="19"/>
      <c r="C13" s="19"/>
      <c r="D13" s="19"/>
      <c r="E13" s="18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14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20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9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</row>
    <row r="14" spans="1:68" ht="14.25" hidden="1" customHeight="1" outlineLevel="1">
      <c r="A14" s="12"/>
      <c r="B14" s="19"/>
      <c r="C14" s="19"/>
      <c r="D14" s="19"/>
      <c r="E14" s="18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14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20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9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</row>
    <row r="15" spans="1:68" ht="14.25" hidden="1" customHeight="1" outlineLevel="1">
      <c r="A15" s="12"/>
      <c r="B15" s="19"/>
      <c r="C15" s="19"/>
      <c r="D15" s="19"/>
      <c r="E15" s="18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14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20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9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</row>
    <row r="16" spans="1:68" ht="14.25" hidden="1" customHeight="1" outlineLevel="1">
      <c r="A16" s="12"/>
      <c r="B16" s="19"/>
      <c r="C16" s="19"/>
      <c r="D16" s="19"/>
      <c r="E16" s="18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14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20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9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</row>
    <row r="17" spans="1:68" ht="14.25" hidden="1" customHeight="1" outlineLevel="1">
      <c r="A17" s="12"/>
      <c r="B17" s="19"/>
      <c r="C17" s="19"/>
      <c r="D17" s="19"/>
      <c r="E17" s="18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14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20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9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</row>
    <row r="18" spans="1:68" ht="14.25" hidden="1" customHeight="1" outlineLevel="1">
      <c r="A18" s="12"/>
      <c r="B18" s="19"/>
      <c r="C18" s="19"/>
      <c r="D18" s="19"/>
      <c r="E18" s="18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14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20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9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</row>
    <row r="19" spans="1:68" ht="14.25" hidden="1" customHeight="1" outlineLevel="1">
      <c r="A19" s="12"/>
      <c r="B19" s="19"/>
      <c r="C19" s="19"/>
      <c r="D19" s="19"/>
      <c r="E19" s="18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14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20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9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</row>
    <row r="20" spans="1:68" ht="14.25" hidden="1" customHeight="1" outlineLevel="1">
      <c r="A20" s="12"/>
      <c r="B20" s="19"/>
      <c r="C20" s="19"/>
      <c r="D20" s="19"/>
      <c r="E20" s="18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14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20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9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</row>
    <row r="21" spans="1:68" ht="14.25" hidden="1" customHeight="1" outlineLevel="1">
      <c r="A21" s="12"/>
      <c r="B21" s="19"/>
      <c r="C21" s="19"/>
      <c r="D21" s="19"/>
      <c r="E21" s="18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14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20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9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</row>
    <row r="22" spans="1:68" ht="14.25" hidden="1" customHeight="1" outlineLevel="1">
      <c r="A22" s="12"/>
      <c r="B22" s="19"/>
      <c r="C22" s="19"/>
      <c r="D22" s="19"/>
      <c r="E22" s="18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14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20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9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</row>
    <row r="23" spans="1:68" ht="14.25" hidden="1" customHeight="1" outlineLevel="1">
      <c r="A23" s="12"/>
      <c r="B23" s="19"/>
      <c r="C23" s="19"/>
      <c r="D23" s="19"/>
      <c r="E23" s="18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14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20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9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</row>
    <row r="24" spans="1:68" ht="14.25" hidden="1" customHeight="1" outlineLevel="1">
      <c r="A24" s="12"/>
      <c r="B24" s="19"/>
      <c r="C24" s="19"/>
      <c r="D24" s="19"/>
      <c r="E24" s="18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14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20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9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</row>
    <row r="25" spans="1:68" ht="14.25" hidden="1" customHeight="1" outlineLevel="1">
      <c r="A25" s="12"/>
      <c r="B25" s="19"/>
      <c r="C25" s="19"/>
      <c r="D25" s="19"/>
      <c r="E25" s="18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14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20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9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</row>
    <row r="26" spans="1:68" ht="14.25" hidden="1" customHeight="1" outlineLevel="1">
      <c r="A26" s="12"/>
      <c r="B26" s="19"/>
      <c r="C26" s="19"/>
      <c r="D26" s="19"/>
      <c r="E26" s="18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14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20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9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</row>
    <row r="27" spans="1:68" ht="14.25" hidden="1" customHeight="1" outlineLevel="1">
      <c r="A27" s="12"/>
      <c r="B27" s="19"/>
      <c r="C27" s="19"/>
      <c r="D27" s="19"/>
      <c r="E27" s="18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14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20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9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</row>
    <row r="28" spans="1:68" ht="14.25" hidden="1" customHeight="1" outlineLevel="1">
      <c r="A28" s="12"/>
      <c r="B28" s="19"/>
      <c r="C28" s="19"/>
      <c r="D28" s="19"/>
      <c r="E28" s="18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14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20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9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</row>
    <row r="29" spans="1:68" ht="14.25" hidden="1" customHeight="1" outlineLevel="1">
      <c r="A29" s="12"/>
      <c r="B29" s="19"/>
      <c r="C29" s="19"/>
      <c r="D29" s="19"/>
      <c r="E29" s="18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14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20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9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</row>
    <row r="30" spans="1:68" ht="14.25" hidden="1" customHeight="1" outlineLevel="1">
      <c r="A30" s="12"/>
      <c r="B30" s="19"/>
      <c r="C30" s="19"/>
      <c r="D30" s="19"/>
      <c r="E30" s="18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14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20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9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</row>
    <row r="31" spans="1:68" ht="14.25" hidden="1" customHeight="1" outlineLevel="1">
      <c r="A31" s="12"/>
      <c r="B31" s="19"/>
      <c r="C31" s="19"/>
      <c r="D31" s="19"/>
      <c r="E31" s="18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14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20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9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</row>
    <row r="32" spans="1:68" ht="14.25" hidden="1" customHeight="1" outlineLevel="1">
      <c r="A32" s="12"/>
      <c r="B32" s="19"/>
      <c r="C32" s="19"/>
      <c r="D32" s="19"/>
      <c r="E32" s="18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14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20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9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</row>
    <row r="33" spans="1:68" ht="14.25" hidden="1" customHeight="1" outlineLevel="1">
      <c r="A33" s="12"/>
      <c r="B33" s="19"/>
      <c r="C33" s="19"/>
      <c r="D33" s="19"/>
      <c r="E33" s="18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14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20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9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</row>
    <row r="34" spans="1:68" ht="14.25" hidden="1" customHeight="1" outlineLevel="1">
      <c r="A34" s="12"/>
      <c r="B34" s="19"/>
      <c r="C34" s="19"/>
      <c r="D34" s="19"/>
      <c r="E34" s="18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14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20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9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</row>
    <row r="35" spans="1:68" ht="14.25" hidden="1" customHeight="1" outlineLevel="1">
      <c r="A35" s="12"/>
      <c r="B35" s="19"/>
      <c r="C35" s="19"/>
      <c r="D35" s="19"/>
      <c r="E35" s="18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14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20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9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</row>
    <row r="36" spans="1:68" ht="14.25" hidden="1" customHeight="1" outlineLevel="1">
      <c r="A36" s="12"/>
      <c r="B36" s="19"/>
      <c r="C36" s="19"/>
      <c r="D36" s="19"/>
      <c r="E36" s="18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14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20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9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</row>
    <row r="37" spans="1:68" ht="14.25" hidden="1" customHeight="1" outlineLevel="1">
      <c r="A37" s="12"/>
      <c r="B37" s="19"/>
      <c r="C37" s="19"/>
      <c r="D37" s="19"/>
      <c r="E37" s="18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14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20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9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</row>
    <row r="38" spans="1:68" ht="14.25" hidden="1" customHeight="1" outlineLevel="1">
      <c r="A38" s="12"/>
      <c r="B38" s="19"/>
      <c r="C38" s="19"/>
      <c r="D38" s="19"/>
      <c r="E38" s="18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14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20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9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</row>
    <row r="39" spans="1:68" ht="14.25" hidden="1" customHeight="1" outlineLevel="1">
      <c r="A39" s="12"/>
      <c r="B39" s="19"/>
      <c r="C39" s="19"/>
      <c r="D39" s="19"/>
      <c r="E39" s="18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14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20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9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</row>
    <row r="40" spans="1:68" ht="14.25" hidden="1" customHeight="1" outlineLevel="1">
      <c r="A40" s="12"/>
      <c r="B40" s="19"/>
      <c r="C40" s="19"/>
      <c r="D40" s="19"/>
      <c r="E40" s="18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14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20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9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</row>
    <row r="41" spans="1:68" ht="14.25" hidden="1" customHeight="1" outlineLevel="1">
      <c r="A41" s="12"/>
      <c r="B41" s="19"/>
      <c r="C41" s="19"/>
      <c r="D41" s="19"/>
      <c r="E41" s="18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14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20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9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</row>
    <row r="42" spans="1:68" ht="14.25" hidden="1" customHeight="1" outlineLevel="1">
      <c r="A42" s="12"/>
      <c r="B42" s="19"/>
      <c r="C42" s="19"/>
      <c r="D42" s="19"/>
      <c r="E42" s="18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14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20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9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</row>
    <row r="43" spans="1:68" ht="14.25" hidden="1" customHeight="1" outlineLevel="1">
      <c r="A43" s="12"/>
      <c r="B43" s="19"/>
      <c r="C43" s="19"/>
      <c r="D43" s="19"/>
      <c r="E43" s="18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14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20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9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</row>
    <row r="44" spans="1:68" ht="14.25" hidden="1" customHeight="1" outlineLevel="1">
      <c r="A44" s="12"/>
      <c r="B44" s="19"/>
      <c r="C44" s="19"/>
      <c r="D44" s="19"/>
      <c r="E44" s="18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14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20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9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</row>
    <row r="45" spans="1:68" ht="14.25" hidden="1" customHeight="1" outlineLevel="1">
      <c r="A45" s="12"/>
      <c r="B45" s="19"/>
      <c r="C45" s="19"/>
      <c r="D45" s="19"/>
      <c r="E45" s="18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14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20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9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</row>
    <row r="46" spans="1:68" ht="14.25" hidden="1" customHeight="1" outlineLevel="1">
      <c r="A46" s="12"/>
      <c r="B46" s="19"/>
      <c r="C46" s="19"/>
      <c r="D46" s="19"/>
      <c r="E46" s="18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14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20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9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</row>
    <row r="47" spans="1:68" ht="14.25" hidden="1" customHeight="1" outlineLevel="1">
      <c r="A47" s="12"/>
      <c r="B47" s="19"/>
      <c r="C47" s="19"/>
      <c r="D47" s="19"/>
      <c r="E47" s="18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14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20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9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</row>
    <row r="48" spans="1:68" ht="14.25" hidden="1" customHeight="1" outlineLevel="1">
      <c r="A48" s="12"/>
      <c r="B48" s="19"/>
      <c r="C48" s="19"/>
      <c r="D48" s="19"/>
      <c r="E48" s="18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14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20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9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</row>
    <row r="49" spans="1:68" ht="14.25" hidden="1" customHeight="1" outlineLevel="1">
      <c r="A49" s="12"/>
      <c r="B49" s="19"/>
      <c r="C49" s="19"/>
      <c r="D49" s="19"/>
      <c r="E49" s="18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14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20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9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</row>
    <row r="50" spans="1:68" ht="14.25" hidden="1" customHeight="1" outlineLevel="1">
      <c r="A50" s="12"/>
      <c r="B50" s="19"/>
      <c r="C50" s="19"/>
      <c r="D50" s="19"/>
      <c r="E50" s="18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14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20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9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</row>
    <row r="51" spans="1:68" ht="14.25" hidden="1" customHeight="1" outlineLevel="1">
      <c r="A51" s="12"/>
      <c r="B51" s="19"/>
      <c r="C51" s="19"/>
      <c r="D51" s="19"/>
      <c r="E51" s="18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14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20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9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</row>
    <row r="52" spans="1:68" ht="14.25" hidden="1" customHeight="1" outlineLevel="1">
      <c r="A52" s="12"/>
      <c r="B52" s="19"/>
      <c r="C52" s="19"/>
      <c r="D52" s="19"/>
      <c r="E52" s="18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14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20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9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</row>
    <row r="53" spans="1:68" ht="14.25" hidden="1" customHeight="1" outlineLevel="1">
      <c r="A53" s="12"/>
      <c r="B53" s="19"/>
      <c r="C53" s="19"/>
      <c r="D53" s="19"/>
      <c r="E53" s="18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14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20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9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</row>
    <row r="54" spans="1:68" ht="14.25" hidden="1" customHeight="1" outlineLevel="1">
      <c r="A54" s="12"/>
      <c r="B54" s="19"/>
      <c r="C54" s="19"/>
      <c r="D54" s="19"/>
      <c r="E54" s="18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14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20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9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</row>
    <row r="55" spans="1:68" ht="14.25" hidden="1" customHeight="1" outlineLevel="1">
      <c r="A55" s="12"/>
      <c r="B55" s="19"/>
      <c r="C55" s="19"/>
      <c r="D55" s="19"/>
      <c r="E55" s="18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14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20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9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</row>
    <row r="56" spans="1:68" ht="14.25" hidden="1" customHeight="1" outlineLevel="1">
      <c r="A56" s="12"/>
      <c r="B56" s="19"/>
      <c r="C56" s="19"/>
      <c r="D56" s="19"/>
      <c r="E56" s="18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14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20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9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</row>
    <row r="57" spans="1:68" ht="14.25" hidden="1" customHeight="1" outlineLevel="1">
      <c r="A57" s="12"/>
      <c r="B57" s="19"/>
      <c r="C57" s="19"/>
      <c r="D57" s="19"/>
      <c r="E57" s="18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14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20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9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</row>
    <row r="58" spans="1:68" ht="14.25" hidden="1" customHeight="1" outlineLevel="1">
      <c r="A58" s="12"/>
      <c r="B58" s="19"/>
      <c r="C58" s="19"/>
      <c r="D58" s="19"/>
      <c r="E58" s="18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14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20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9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</row>
    <row r="59" spans="1:68" ht="14.25" hidden="1" customHeight="1" outlineLevel="1">
      <c r="A59" s="12"/>
      <c r="B59" s="19"/>
      <c r="C59" s="19"/>
      <c r="D59" s="19"/>
      <c r="E59" s="18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14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20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9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</row>
    <row r="60" spans="1:68" ht="14.25" hidden="1" customHeight="1" outlineLevel="1">
      <c r="A60" s="12"/>
      <c r="B60" s="19"/>
      <c r="C60" s="19"/>
      <c r="D60" s="19"/>
      <c r="E60" s="18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14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20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9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</row>
    <row r="61" spans="1:68" ht="14.25" hidden="1" customHeight="1" outlineLevel="1">
      <c r="A61" s="12"/>
      <c r="B61" s="19"/>
      <c r="C61" s="19"/>
      <c r="D61" s="19"/>
      <c r="E61" s="18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14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20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9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</row>
    <row r="62" spans="1:68" ht="14.25" hidden="1" customHeight="1" outlineLevel="1">
      <c r="A62" s="12"/>
      <c r="B62" s="19"/>
      <c r="C62" s="19"/>
      <c r="D62" s="19"/>
      <c r="E62" s="18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14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20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9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</row>
    <row r="63" spans="1:68" ht="14.25" hidden="1" customHeight="1" outlineLevel="1">
      <c r="A63" s="12"/>
      <c r="B63" s="19"/>
      <c r="C63" s="19"/>
      <c r="D63" s="19"/>
      <c r="E63" s="18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14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20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9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</row>
    <row r="64" spans="1:68" ht="14.25" hidden="1" customHeight="1" outlineLevel="1">
      <c r="A64" s="12"/>
      <c r="B64" s="19"/>
      <c r="C64" s="19"/>
      <c r="D64" s="19"/>
      <c r="E64" s="18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14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20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9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</row>
    <row r="65" spans="1:68" ht="14.25" hidden="1" customHeight="1" outlineLevel="1">
      <c r="A65" s="12"/>
      <c r="B65" s="19"/>
      <c r="C65" s="19"/>
      <c r="D65" s="19"/>
      <c r="E65" s="18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14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20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9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</row>
    <row r="66" spans="1:68" ht="14.25" hidden="1" customHeight="1" outlineLevel="1">
      <c r="A66" s="12"/>
      <c r="B66" s="19"/>
      <c r="C66" s="19"/>
      <c r="D66" s="19"/>
      <c r="E66" s="18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14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20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9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</row>
    <row r="67" spans="1:68" ht="14.25" hidden="1" customHeight="1" outlineLevel="1">
      <c r="A67" s="12"/>
      <c r="B67" s="19"/>
      <c r="C67" s="19"/>
      <c r="D67" s="19"/>
      <c r="E67" s="18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14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20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9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</row>
    <row r="68" spans="1:68" ht="14.25" hidden="1" customHeight="1" outlineLevel="1">
      <c r="A68" s="12"/>
      <c r="B68" s="19"/>
      <c r="C68" s="19"/>
      <c r="D68" s="19"/>
      <c r="E68" s="18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14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20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9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</row>
    <row r="69" spans="1:68" ht="14.25" hidden="1" customHeight="1" outlineLevel="1">
      <c r="A69" s="12"/>
      <c r="B69" s="19"/>
      <c r="C69" s="19"/>
      <c r="D69" s="19"/>
      <c r="E69" s="18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14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20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9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</row>
    <row r="70" spans="1:68" ht="14.25" hidden="1" customHeight="1" outlineLevel="1">
      <c r="A70" s="12"/>
      <c r="B70" s="19"/>
      <c r="C70" s="19"/>
      <c r="D70" s="19"/>
      <c r="E70" s="18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14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20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9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</row>
    <row r="71" spans="1:68" ht="14.25" hidden="1" customHeight="1" outlineLevel="1">
      <c r="A71" s="12"/>
      <c r="B71" s="19"/>
      <c r="C71" s="19"/>
      <c r="D71" s="19"/>
      <c r="E71" s="18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14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20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9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</row>
    <row r="72" spans="1:68" ht="14.25" hidden="1" customHeight="1" outlineLevel="1">
      <c r="A72" s="12"/>
      <c r="B72" s="19"/>
      <c r="C72" s="19"/>
      <c r="D72" s="19"/>
      <c r="E72" s="18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14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20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9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</row>
    <row r="73" spans="1:68" ht="14.25" hidden="1" customHeight="1" outlineLevel="1">
      <c r="A73" s="12"/>
      <c r="B73" s="19"/>
      <c r="C73" s="19"/>
      <c r="D73" s="19"/>
      <c r="E73" s="18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14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20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9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</row>
    <row r="74" spans="1:68" ht="14.25" hidden="1" customHeight="1" outlineLevel="1">
      <c r="A74" s="12"/>
      <c r="B74" s="19"/>
      <c r="C74" s="19"/>
      <c r="D74" s="19"/>
      <c r="E74" s="18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14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20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9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</row>
    <row r="75" spans="1:68" ht="14.25" hidden="1" customHeight="1" outlineLevel="1">
      <c r="A75" s="12"/>
      <c r="B75" s="19"/>
      <c r="C75" s="19"/>
      <c r="D75" s="19"/>
      <c r="E75" s="18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14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20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9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</row>
    <row r="76" spans="1:68" ht="14.25" hidden="1" customHeight="1" outlineLevel="1">
      <c r="A76" s="12"/>
      <c r="B76" s="19"/>
      <c r="C76" s="19"/>
      <c r="D76" s="19"/>
      <c r="E76" s="18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14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20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9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</row>
    <row r="77" spans="1:68" ht="14.25" hidden="1" customHeight="1" outlineLevel="1">
      <c r="A77" s="12"/>
      <c r="B77" s="19"/>
      <c r="C77" s="19"/>
      <c r="D77" s="19"/>
      <c r="E77" s="18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14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20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9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</row>
    <row r="78" spans="1:68" ht="14.25" hidden="1" customHeight="1" outlineLevel="1">
      <c r="A78" s="12"/>
      <c r="B78" s="19"/>
      <c r="C78" s="19"/>
      <c r="D78" s="19"/>
      <c r="E78" s="18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14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20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9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</row>
    <row r="79" spans="1:68" ht="14.25" hidden="1" customHeight="1" outlineLevel="1">
      <c r="A79" s="12"/>
      <c r="B79" s="19"/>
      <c r="C79" s="19"/>
      <c r="D79" s="19"/>
      <c r="E79" s="18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14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20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9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</row>
    <row r="80" spans="1:68" ht="14.25" hidden="1" customHeight="1" outlineLevel="1">
      <c r="A80" s="12"/>
      <c r="B80" s="19"/>
      <c r="C80" s="19"/>
      <c r="D80" s="19"/>
      <c r="E80" s="18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14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20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9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</row>
    <row r="81" spans="1:68" ht="14.25" hidden="1" customHeight="1" outlineLevel="1">
      <c r="A81" s="12"/>
      <c r="B81" s="19"/>
      <c r="C81" s="19"/>
      <c r="D81" s="19"/>
      <c r="E81" s="18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14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20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9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</row>
    <row r="82" spans="1:68" ht="14.25" hidden="1" customHeight="1" outlineLevel="1">
      <c r="A82" s="12"/>
      <c r="B82" s="19"/>
      <c r="C82" s="19"/>
      <c r="D82" s="19"/>
      <c r="E82" s="18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14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20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9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</row>
    <row r="83" spans="1:68" ht="14.25" hidden="1" customHeight="1" outlineLevel="1">
      <c r="A83" s="12"/>
      <c r="B83" s="19"/>
      <c r="C83" s="19"/>
      <c r="D83" s="19"/>
      <c r="E83" s="18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14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20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9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</row>
    <row r="84" spans="1:68" ht="14.25" hidden="1" customHeight="1" outlineLevel="1">
      <c r="A84" s="12"/>
      <c r="B84" s="19"/>
      <c r="C84" s="19"/>
      <c r="D84" s="19"/>
      <c r="E84" s="18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14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20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9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</row>
    <row r="85" spans="1:68" ht="14.25" hidden="1" customHeight="1" outlineLevel="1">
      <c r="A85" s="12"/>
      <c r="B85" s="19"/>
      <c r="C85" s="19"/>
      <c r="D85" s="19"/>
      <c r="E85" s="18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14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20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9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</row>
    <row r="86" spans="1:68" ht="14.25" hidden="1" customHeight="1" outlineLevel="1">
      <c r="A86" s="12"/>
      <c r="B86" s="19"/>
      <c r="C86" s="19"/>
      <c r="D86" s="19"/>
      <c r="E86" s="18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14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20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9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</row>
    <row r="87" spans="1:68" ht="14.25" hidden="1" customHeight="1" outlineLevel="1">
      <c r="A87" s="12"/>
      <c r="B87" s="19"/>
      <c r="C87" s="19"/>
      <c r="D87" s="19"/>
      <c r="E87" s="18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14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20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9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</row>
    <row r="88" spans="1:68" ht="14.25" hidden="1" customHeight="1" outlineLevel="1">
      <c r="A88" s="12"/>
      <c r="B88" s="19"/>
      <c r="C88" s="19"/>
      <c r="D88" s="19"/>
      <c r="E88" s="18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14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20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9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</row>
    <row r="89" spans="1:68" ht="14.25" hidden="1" customHeight="1" outlineLevel="1">
      <c r="A89" s="12"/>
      <c r="B89" s="19"/>
      <c r="C89" s="19"/>
      <c r="D89" s="19"/>
      <c r="E89" s="18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14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20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9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</row>
    <row r="90" spans="1:68" ht="14.25" hidden="1" customHeight="1" outlineLevel="1">
      <c r="A90" s="12"/>
      <c r="B90" s="19"/>
      <c r="C90" s="19"/>
      <c r="D90" s="19"/>
      <c r="E90" s="18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14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20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9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</row>
    <row r="91" spans="1:68" ht="14.25" hidden="1" customHeight="1" outlineLevel="1">
      <c r="A91" s="12"/>
      <c r="B91" s="19"/>
      <c r="C91" s="19"/>
      <c r="D91" s="19"/>
      <c r="E91" s="18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14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20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9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</row>
    <row r="92" spans="1:68" ht="14.25" hidden="1" customHeight="1" outlineLevel="1">
      <c r="A92" s="12"/>
      <c r="B92" s="19"/>
      <c r="C92" s="19"/>
      <c r="D92" s="19"/>
      <c r="E92" s="18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14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20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9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</row>
    <row r="93" spans="1:68" ht="14.25" hidden="1" customHeight="1" outlineLevel="1">
      <c r="A93" s="12"/>
      <c r="B93" s="19"/>
      <c r="C93" s="19"/>
      <c r="D93" s="19"/>
      <c r="E93" s="18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14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20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9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</row>
    <row r="94" spans="1:68" ht="14.25" hidden="1" customHeight="1" outlineLevel="1">
      <c r="A94" s="12"/>
      <c r="B94" s="19"/>
      <c r="C94" s="19"/>
      <c r="D94" s="19"/>
      <c r="E94" s="18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14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20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9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</row>
    <row r="95" spans="1:68" ht="14.25" hidden="1" customHeight="1" outlineLevel="1">
      <c r="A95" s="12"/>
      <c r="B95" s="19"/>
      <c r="C95" s="19"/>
      <c r="D95" s="19"/>
      <c r="E95" s="18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14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20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9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</row>
    <row r="96" spans="1:68" ht="14.25" hidden="1" customHeight="1" outlineLevel="1">
      <c r="A96" s="12"/>
      <c r="B96" s="19"/>
      <c r="C96" s="19"/>
      <c r="D96" s="19"/>
      <c r="E96" s="18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14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20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9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</row>
    <row r="97" spans="1:68" ht="14.25" hidden="1" customHeight="1" outlineLevel="1">
      <c r="A97" s="12"/>
      <c r="B97" s="19"/>
      <c r="C97" s="19"/>
      <c r="D97" s="19"/>
      <c r="E97" s="18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14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20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9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</row>
    <row r="98" spans="1:68" ht="14.25" hidden="1" customHeight="1" outlineLevel="1">
      <c r="A98" s="12"/>
      <c r="B98" s="19"/>
      <c r="C98" s="19"/>
      <c r="D98" s="19"/>
      <c r="E98" s="18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14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20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9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</row>
    <row r="99" spans="1:68" ht="14.25" hidden="1" customHeight="1" outlineLevel="1">
      <c r="A99" s="12"/>
      <c r="B99" s="19"/>
      <c r="C99" s="19"/>
      <c r="D99" s="19"/>
      <c r="E99" s="18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14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20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9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</row>
    <row r="100" spans="1:68" ht="14.25" hidden="1" customHeight="1" outlineLevel="1">
      <c r="A100" s="12"/>
      <c r="B100" s="19"/>
      <c r="C100" s="19"/>
      <c r="D100" s="19"/>
      <c r="E100" s="18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14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20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9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</row>
    <row r="101" spans="1:68" ht="14.25" hidden="1" customHeight="1" outlineLevel="1">
      <c r="A101" s="12"/>
      <c r="B101" s="19"/>
      <c r="C101" s="19"/>
      <c r="D101" s="19"/>
      <c r="E101" s="18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14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20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9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</row>
    <row r="102" spans="1:68" ht="14.25" hidden="1" customHeight="1" outlineLevel="1">
      <c r="A102" s="12"/>
      <c r="B102" s="19"/>
      <c r="C102" s="19"/>
      <c r="D102" s="19"/>
      <c r="E102" s="18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14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20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9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</row>
    <row r="103" spans="1:68" ht="14.25" hidden="1" customHeight="1" outlineLevel="1">
      <c r="A103" s="12"/>
      <c r="B103" s="19"/>
      <c r="C103" s="19"/>
      <c r="D103" s="19"/>
      <c r="E103" s="18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14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20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9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</row>
    <row r="104" spans="1:68" ht="14.25" hidden="1" customHeight="1" outlineLevel="1">
      <c r="A104" s="12"/>
      <c r="B104" s="19"/>
      <c r="C104" s="19"/>
      <c r="D104" s="19"/>
      <c r="E104" s="18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14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20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9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</row>
    <row r="105" spans="1:68" ht="14.25" hidden="1" customHeight="1" outlineLevel="1">
      <c r="A105" s="12"/>
      <c r="B105" s="19"/>
      <c r="C105" s="19"/>
      <c r="D105" s="19"/>
      <c r="E105" s="18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14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20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9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</row>
    <row r="106" spans="1:68" ht="14.25" hidden="1" customHeight="1" outlineLevel="1">
      <c r="A106" s="12"/>
      <c r="B106" s="19"/>
      <c r="C106" s="19"/>
      <c r="D106" s="19"/>
      <c r="E106" s="18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14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20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9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</row>
    <row r="107" spans="1:68" ht="14.25" hidden="1" customHeight="1" outlineLevel="1">
      <c r="A107" s="12"/>
      <c r="B107" s="19"/>
      <c r="C107" s="19"/>
      <c r="D107" s="19"/>
      <c r="E107" s="18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14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20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9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</row>
    <row r="108" spans="1:68" ht="14.25" hidden="1" customHeight="1" outlineLevel="1">
      <c r="A108" s="12"/>
      <c r="B108" s="19"/>
      <c r="C108" s="19"/>
      <c r="D108" s="19"/>
      <c r="E108" s="18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14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20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9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</row>
    <row r="109" spans="1:68" ht="14.25" hidden="1" customHeight="1" outlineLevel="1">
      <c r="A109" s="12"/>
      <c r="B109" s="19"/>
      <c r="C109" s="19"/>
      <c r="D109" s="19"/>
      <c r="E109" s="18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14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20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9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</row>
    <row r="110" spans="1:68" ht="14.25" hidden="1" customHeight="1" outlineLevel="1">
      <c r="A110" s="12"/>
      <c r="B110" s="19"/>
      <c r="C110" s="19"/>
      <c r="D110" s="19"/>
      <c r="E110" s="18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14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20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9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</row>
    <row r="111" spans="1:68" ht="14.25" hidden="1" customHeight="1" outlineLevel="1">
      <c r="A111" s="12"/>
      <c r="B111" s="19"/>
      <c r="C111" s="19"/>
      <c r="D111" s="19"/>
      <c r="E111" s="18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14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20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9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</row>
    <row r="112" spans="1:68" ht="14.25" hidden="1" customHeight="1" outlineLevel="1">
      <c r="A112" s="12"/>
      <c r="B112" s="19"/>
      <c r="C112" s="19"/>
      <c r="D112" s="19"/>
      <c r="E112" s="18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14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20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9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</row>
    <row r="113" spans="1:68" ht="14.25" hidden="1" customHeight="1" outlineLevel="1">
      <c r="A113" s="12"/>
      <c r="B113" s="19"/>
      <c r="C113" s="19"/>
      <c r="D113" s="19"/>
      <c r="E113" s="18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14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20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9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</row>
    <row r="114" spans="1:68" ht="14.25" hidden="1" customHeight="1" outlineLevel="1">
      <c r="A114" s="12"/>
      <c r="B114" s="19"/>
      <c r="C114" s="19"/>
      <c r="D114" s="19"/>
      <c r="E114" s="18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14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20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9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</row>
    <row r="115" spans="1:68" ht="14.25" hidden="1" customHeight="1" outlineLevel="1">
      <c r="A115" s="12"/>
      <c r="B115" s="19"/>
      <c r="C115" s="19"/>
      <c r="D115" s="19"/>
      <c r="E115" s="18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14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20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9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</row>
    <row r="116" spans="1:68" ht="14.25" hidden="1" customHeight="1" outlineLevel="1">
      <c r="A116" s="12"/>
      <c r="B116" s="19"/>
      <c r="C116" s="19"/>
      <c r="D116" s="19"/>
      <c r="E116" s="18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14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20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9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</row>
    <row r="117" spans="1:68" ht="14.25" hidden="1" customHeight="1" outlineLevel="1">
      <c r="A117" s="12"/>
      <c r="B117" s="19"/>
      <c r="C117" s="19"/>
      <c r="D117" s="19"/>
      <c r="E117" s="18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14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20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9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</row>
    <row r="118" spans="1:68" ht="14.25" hidden="1" customHeight="1" outlineLevel="1">
      <c r="A118" s="12"/>
      <c r="B118" s="19"/>
      <c r="C118" s="19"/>
      <c r="D118" s="19"/>
      <c r="E118" s="18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14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20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9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</row>
    <row r="119" spans="1:68" ht="14.25" hidden="1" customHeight="1" outlineLevel="1">
      <c r="A119" s="12"/>
      <c r="B119" s="19"/>
      <c r="C119" s="19"/>
      <c r="D119" s="19"/>
      <c r="E119" s="18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14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20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9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</row>
    <row r="120" spans="1:68" ht="14.25" hidden="1" customHeight="1" outlineLevel="1">
      <c r="A120" s="12"/>
      <c r="B120" s="19"/>
      <c r="C120" s="19"/>
      <c r="D120" s="19"/>
      <c r="E120" s="18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14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20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9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</row>
    <row r="121" spans="1:68" ht="14.25" hidden="1" customHeight="1" outlineLevel="1">
      <c r="A121" s="12"/>
      <c r="B121" s="19"/>
      <c r="C121" s="19"/>
      <c r="D121" s="19"/>
      <c r="E121" s="18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14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20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9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</row>
    <row r="122" spans="1:68" ht="14.25" hidden="1" customHeight="1" outlineLevel="1">
      <c r="A122" s="12"/>
      <c r="B122" s="19"/>
      <c r="C122" s="19"/>
      <c r="D122" s="19"/>
      <c r="E122" s="18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14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20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9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</row>
    <row r="123" spans="1:68" ht="14.25" hidden="1" customHeight="1" outlineLevel="1">
      <c r="A123" s="12"/>
      <c r="B123" s="19"/>
      <c r="C123" s="19"/>
      <c r="D123" s="19"/>
      <c r="E123" s="18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14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20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9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</row>
    <row r="124" spans="1:68" ht="14.25" hidden="1" customHeight="1" outlineLevel="1">
      <c r="A124" s="12"/>
      <c r="B124" s="19"/>
      <c r="C124" s="19"/>
      <c r="D124" s="19"/>
      <c r="E124" s="18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14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20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9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</row>
    <row r="125" spans="1:68" ht="14.25" hidden="1" customHeight="1" outlineLevel="1">
      <c r="A125" s="12"/>
      <c r="B125" s="19"/>
      <c r="C125" s="19"/>
      <c r="D125" s="19"/>
      <c r="E125" s="18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14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20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9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</row>
    <row r="126" spans="1:68" ht="14.25" hidden="1" customHeight="1" outlineLevel="1">
      <c r="A126" s="12"/>
      <c r="B126" s="19"/>
      <c r="C126" s="19"/>
      <c r="D126" s="19"/>
      <c r="E126" s="18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14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20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9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</row>
    <row r="127" spans="1:68" ht="14.25" hidden="1" customHeight="1" outlineLevel="1">
      <c r="A127" s="12"/>
      <c r="B127" s="19"/>
      <c r="C127" s="19"/>
      <c r="D127" s="19"/>
      <c r="E127" s="18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14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20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9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</row>
    <row r="128" spans="1:68" ht="14.25" hidden="1" customHeight="1" outlineLevel="1">
      <c r="A128" s="12"/>
      <c r="B128" s="19"/>
      <c r="C128" s="19"/>
      <c r="D128" s="19"/>
      <c r="E128" s="18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14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20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9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</row>
    <row r="129" spans="1:68" ht="14.25" hidden="1" customHeight="1" outlineLevel="1">
      <c r="A129" s="12"/>
      <c r="B129" s="19"/>
      <c r="C129" s="19"/>
      <c r="D129" s="19"/>
      <c r="E129" s="18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14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20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9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</row>
    <row r="130" spans="1:68" ht="14.25" hidden="1" customHeight="1" outlineLevel="1">
      <c r="A130" s="12"/>
      <c r="B130" s="19"/>
      <c r="C130" s="19"/>
      <c r="D130" s="19"/>
      <c r="E130" s="18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14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20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9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</row>
    <row r="131" spans="1:68" ht="14.25" hidden="1" customHeight="1" outlineLevel="1">
      <c r="A131" s="12"/>
      <c r="B131" s="19"/>
      <c r="C131" s="19"/>
      <c r="D131" s="19"/>
      <c r="E131" s="18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14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20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9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</row>
    <row r="132" spans="1:68" ht="14.25" hidden="1" customHeight="1" outlineLevel="1">
      <c r="A132" s="12"/>
      <c r="B132" s="19"/>
      <c r="C132" s="19"/>
      <c r="D132" s="19"/>
      <c r="E132" s="18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14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20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9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</row>
    <row r="133" spans="1:68" ht="14.25" hidden="1" customHeight="1" outlineLevel="1">
      <c r="A133" s="12"/>
      <c r="B133" s="19"/>
      <c r="C133" s="19"/>
      <c r="D133" s="19"/>
      <c r="E133" s="18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14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20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9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</row>
    <row r="134" spans="1:68" ht="14.25" hidden="1" customHeight="1" outlineLevel="1">
      <c r="A134" s="12"/>
      <c r="B134" s="19"/>
      <c r="C134" s="19"/>
      <c r="D134" s="19"/>
      <c r="E134" s="18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14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20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9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</row>
    <row r="135" spans="1:68" ht="14.25" hidden="1" customHeight="1" outlineLevel="1">
      <c r="A135" s="12"/>
      <c r="B135" s="19"/>
      <c r="C135" s="19"/>
      <c r="D135" s="19"/>
      <c r="E135" s="18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14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20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9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</row>
    <row r="136" spans="1:68" ht="14.25" hidden="1" customHeight="1" outlineLevel="1">
      <c r="A136" s="12"/>
      <c r="B136" s="19"/>
      <c r="C136" s="19"/>
      <c r="D136" s="19"/>
      <c r="E136" s="18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14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20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9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</row>
    <row r="137" spans="1:68" ht="14.25" hidden="1" customHeight="1" outlineLevel="1">
      <c r="A137" s="12"/>
      <c r="B137" s="19"/>
      <c r="C137" s="19"/>
      <c r="D137" s="19"/>
      <c r="E137" s="18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14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20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9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</row>
    <row r="138" spans="1:68" ht="14.25" hidden="1" customHeight="1" outlineLevel="1">
      <c r="A138" s="12"/>
      <c r="B138" s="19"/>
      <c r="C138" s="19"/>
      <c r="D138" s="19"/>
      <c r="E138" s="18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14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20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9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</row>
    <row r="139" spans="1:68" ht="14.25" hidden="1" customHeight="1" outlineLevel="1">
      <c r="A139" s="12"/>
      <c r="B139" s="19"/>
      <c r="C139" s="19"/>
      <c r="D139" s="19"/>
      <c r="E139" s="18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14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20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9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</row>
    <row r="140" spans="1:68" ht="14.25" hidden="1" customHeight="1" outlineLevel="1">
      <c r="A140" s="12"/>
      <c r="B140" s="19"/>
      <c r="C140" s="19"/>
      <c r="D140" s="19"/>
      <c r="E140" s="18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14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20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9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</row>
    <row r="141" spans="1:68" ht="14.25" hidden="1" customHeight="1" outlineLevel="1">
      <c r="A141" s="12"/>
      <c r="B141" s="19"/>
      <c r="C141" s="19"/>
      <c r="D141" s="19"/>
      <c r="E141" s="18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14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20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9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</row>
    <row r="142" spans="1:68" ht="14.25" hidden="1" customHeight="1" outlineLevel="1">
      <c r="A142" s="12"/>
      <c r="B142" s="19"/>
      <c r="C142" s="19"/>
      <c r="D142" s="19"/>
      <c r="E142" s="18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14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20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9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</row>
    <row r="143" spans="1:68" ht="14.25" hidden="1" customHeight="1" outlineLevel="1">
      <c r="A143" s="12"/>
      <c r="B143" s="19"/>
      <c r="C143" s="19"/>
      <c r="D143" s="19"/>
      <c r="E143" s="18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14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20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9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</row>
    <row r="144" spans="1:68" ht="14.25" hidden="1" customHeight="1" outlineLevel="1">
      <c r="A144" s="12"/>
      <c r="B144" s="19"/>
      <c r="C144" s="19"/>
      <c r="D144" s="19"/>
      <c r="E144" s="18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14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20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9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</row>
    <row r="145" spans="1:68" ht="14.25" hidden="1" customHeight="1" outlineLevel="1">
      <c r="A145" s="12"/>
      <c r="B145" s="19"/>
      <c r="C145" s="19"/>
      <c r="D145" s="19"/>
      <c r="E145" s="18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14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20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9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</row>
    <row r="146" spans="1:68" ht="14.25" hidden="1" customHeight="1" outlineLevel="1">
      <c r="A146" s="12"/>
      <c r="B146" s="19"/>
      <c r="C146" s="19"/>
      <c r="D146" s="19"/>
      <c r="E146" s="18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14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20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9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</row>
    <row r="147" spans="1:68" ht="14.25" hidden="1" customHeight="1" outlineLevel="1">
      <c r="A147" s="12"/>
      <c r="B147" s="19"/>
      <c r="C147" s="19"/>
      <c r="D147" s="19"/>
      <c r="E147" s="18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14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20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9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</row>
    <row r="148" spans="1:68" ht="14.25" hidden="1" customHeight="1" outlineLevel="1">
      <c r="A148" s="12"/>
      <c r="B148" s="19"/>
      <c r="C148" s="19"/>
      <c r="D148" s="19"/>
      <c r="E148" s="18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14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20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9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</row>
    <row r="149" spans="1:68" ht="14.25" hidden="1" customHeight="1" outlineLevel="1">
      <c r="A149" s="12"/>
      <c r="B149" s="19"/>
      <c r="C149" s="19"/>
      <c r="D149" s="19"/>
      <c r="E149" s="18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14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20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9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</row>
    <row r="150" spans="1:68" ht="14.25" hidden="1" customHeight="1" outlineLevel="1">
      <c r="A150" s="12"/>
      <c r="B150" s="19"/>
      <c r="C150" s="19"/>
      <c r="D150" s="19"/>
      <c r="E150" s="18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14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20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9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</row>
    <row r="151" spans="1:68" ht="14.25" hidden="1" customHeight="1" outlineLevel="1">
      <c r="A151" s="12"/>
      <c r="B151" s="19"/>
      <c r="C151" s="19"/>
      <c r="D151" s="19"/>
      <c r="E151" s="18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14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20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9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</row>
    <row r="152" spans="1:68" ht="14.25" hidden="1" customHeight="1" outlineLevel="1">
      <c r="A152" s="12"/>
      <c r="B152" s="19"/>
      <c r="C152" s="19"/>
      <c r="D152" s="19"/>
      <c r="E152" s="18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14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20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9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</row>
    <row r="153" spans="1:68" ht="14.25" hidden="1" customHeight="1" outlineLevel="1">
      <c r="A153" s="12"/>
      <c r="B153" s="19"/>
      <c r="C153" s="19"/>
      <c r="D153" s="19"/>
      <c r="E153" s="18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14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20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9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</row>
    <row r="154" spans="1:68" ht="14.25" hidden="1" customHeight="1" outlineLevel="1">
      <c r="A154" s="12"/>
      <c r="B154" s="19"/>
      <c r="C154" s="19"/>
      <c r="D154" s="19"/>
      <c r="E154" s="18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14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20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9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</row>
    <row r="155" spans="1:68" ht="14.25" hidden="1" customHeight="1" outlineLevel="1">
      <c r="A155" s="12"/>
      <c r="B155" s="19"/>
      <c r="C155" s="19"/>
      <c r="D155" s="19"/>
      <c r="E155" s="18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14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20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9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</row>
    <row r="156" spans="1:68" ht="14.25" hidden="1" customHeight="1" outlineLevel="1">
      <c r="A156" s="12"/>
      <c r="B156" s="19"/>
      <c r="C156" s="19"/>
      <c r="D156" s="19"/>
      <c r="E156" s="18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14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20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9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</row>
    <row r="157" spans="1:68" ht="14.25" hidden="1" customHeight="1" outlineLevel="1">
      <c r="A157" s="12"/>
      <c r="B157" s="19"/>
      <c r="C157" s="19"/>
      <c r="D157" s="19"/>
      <c r="E157" s="18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14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20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9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</row>
    <row r="158" spans="1:68" ht="14.25" hidden="1" customHeight="1" outlineLevel="1">
      <c r="A158" s="12"/>
      <c r="B158" s="19"/>
      <c r="C158" s="19"/>
      <c r="D158" s="19"/>
      <c r="E158" s="18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14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20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9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</row>
    <row r="159" spans="1:68" ht="14.25" hidden="1" customHeight="1" outlineLevel="1">
      <c r="A159" s="12"/>
      <c r="B159" s="19"/>
      <c r="C159" s="19"/>
      <c r="D159" s="19"/>
      <c r="E159" s="18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14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20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9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</row>
    <row r="160" spans="1:68" ht="14.25" hidden="1" customHeight="1" outlineLevel="1">
      <c r="A160" s="12"/>
      <c r="B160" s="19"/>
      <c r="C160" s="19"/>
      <c r="D160" s="19"/>
      <c r="E160" s="18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14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20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9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</row>
    <row r="161" spans="1:68" ht="14.25" hidden="1" customHeight="1" outlineLevel="1">
      <c r="A161" s="12"/>
      <c r="B161" s="19"/>
      <c r="C161" s="19"/>
      <c r="D161" s="19"/>
      <c r="E161" s="18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14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20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9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</row>
    <row r="162" spans="1:68" ht="14.25" hidden="1" customHeight="1" outlineLevel="1">
      <c r="A162" s="12"/>
      <c r="B162" s="19"/>
      <c r="C162" s="19"/>
      <c r="D162" s="19"/>
      <c r="E162" s="18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14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20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9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</row>
    <row r="163" spans="1:68" ht="14.25" hidden="1" customHeight="1" outlineLevel="1">
      <c r="A163" s="12"/>
      <c r="B163" s="19"/>
      <c r="C163" s="19"/>
      <c r="D163" s="19"/>
      <c r="E163" s="18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14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20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9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</row>
    <row r="164" spans="1:68" ht="14.25" hidden="1" customHeight="1" outlineLevel="1">
      <c r="A164" s="12"/>
      <c r="B164" s="19"/>
      <c r="C164" s="19"/>
      <c r="D164" s="19"/>
      <c r="E164" s="18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14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20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9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</row>
    <row r="165" spans="1:68" ht="14.25" hidden="1" customHeight="1" outlineLevel="1">
      <c r="A165" s="12"/>
      <c r="B165" s="19"/>
      <c r="C165" s="19"/>
      <c r="D165" s="19"/>
      <c r="E165" s="18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14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20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9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</row>
    <row r="166" spans="1:68" ht="14.25" hidden="1" customHeight="1" outlineLevel="1">
      <c r="A166" s="12"/>
      <c r="B166" s="19"/>
      <c r="C166" s="19"/>
      <c r="D166" s="19"/>
      <c r="E166" s="18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14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20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9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</row>
    <row r="167" spans="1:68" ht="14.25" hidden="1" customHeight="1" outlineLevel="1">
      <c r="A167" s="12"/>
      <c r="B167" s="19"/>
      <c r="C167" s="19"/>
      <c r="D167" s="19"/>
      <c r="E167" s="18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14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20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9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</row>
    <row r="168" spans="1:68" ht="14.25" hidden="1" customHeight="1" outlineLevel="1">
      <c r="A168" s="12"/>
      <c r="B168" s="19"/>
      <c r="C168" s="19"/>
      <c r="D168" s="19"/>
      <c r="E168" s="18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14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20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9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</row>
    <row r="169" spans="1:68" ht="14.25" hidden="1" customHeight="1" outlineLevel="1">
      <c r="A169" s="12"/>
      <c r="B169" s="19"/>
      <c r="C169" s="19"/>
      <c r="D169" s="19"/>
      <c r="E169" s="18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14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20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9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</row>
    <row r="170" spans="1:68" ht="14.25" hidden="1" customHeight="1" outlineLevel="1">
      <c r="A170" s="12"/>
      <c r="B170" s="19"/>
      <c r="C170" s="19"/>
      <c r="D170" s="19"/>
      <c r="E170" s="18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14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20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9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</row>
    <row r="171" spans="1:68" ht="14.25" hidden="1" customHeight="1" outlineLevel="1">
      <c r="A171" s="12"/>
      <c r="B171" s="19"/>
      <c r="C171" s="19"/>
      <c r="D171" s="19"/>
      <c r="E171" s="18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14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20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9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</row>
    <row r="172" spans="1:68" ht="14.25" hidden="1" customHeight="1" outlineLevel="1">
      <c r="A172" s="12"/>
      <c r="B172" s="19"/>
      <c r="C172" s="19"/>
      <c r="D172" s="19"/>
      <c r="E172" s="18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14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20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9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</row>
    <row r="173" spans="1:68" ht="14.25" hidden="1" customHeight="1" outlineLevel="1">
      <c r="A173" s="12"/>
      <c r="B173" s="19"/>
      <c r="C173" s="19"/>
      <c r="D173" s="19"/>
      <c r="E173" s="18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14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20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9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</row>
    <row r="174" spans="1:68" ht="14.25" hidden="1" customHeight="1" outlineLevel="1">
      <c r="A174" s="12"/>
      <c r="B174" s="19"/>
      <c r="C174" s="19"/>
      <c r="D174" s="19"/>
      <c r="E174" s="18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14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20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9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</row>
    <row r="175" spans="1:68" ht="14.25" hidden="1" customHeight="1" outlineLevel="1">
      <c r="A175" s="12"/>
      <c r="B175" s="19"/>
      <c r="C175" s="19"/>
      <c r="D175" s="19"/>
      <c r="E175" s="18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14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20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9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</row>
    <row r="176" spans="1:68" ht="14.25" hidden="1" customHeight="1" outlineLevel="1">
      <c r="A176" s="12"/>
      <c r="B176" s="19"/>
      <c r="C176" s="19"/>
      <c r="D176" s="19"/>
      <c r="E176" s="18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14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20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9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</row>
    <row r="177" spans="1:68" ht="14.25" hidden="1" customHeight="1" outlineLevel="1">
      <c r="A177" s="12"/>
      <c r="B177" s="19"/>
      <c r="C177" s="19"/>
      <c r="D177" s="19"/>
      <c r="E177" s="18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14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20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9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</row>
    <row r="178" spans="1:68" ht="14.25" hidden="1" customHeight="1" outlineLevel="1">
      <c r="A178" s="12"/>
      <c r="B178" s="19"/>
      <c r="C178" s="19"/>
      <c r="D178" s="19"/>
      <c r="E178" s="18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14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20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9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</row>
    <row r="179" spans="1:68" ht="14.25" hidden="1" customHeight="1" outlineLevel="1">
      <c r="A179" s="12"/>
      <c r="B179" s="19"/>
      <c r="C179" s="19"/>
      <c r="D179" s="19"/>
      <c r="E179" s="18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14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20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9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</row>
    <row r="180" spans="1:68" ht="14.25" hidden="1" customHeight="1" outlineLevel="1">
      <c r="A180" s="12"/>
      <c r="B180" s="19"/>
      <c r="C180" s="19"/>
      <c r="D180" s="19"/>
      <c r="E180" s="18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14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20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9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</row>
    <row r="181" spans="1:68" ht="14.25" hidden="1" customHeight="1" outlineLevel="1">
      <c r="A181" s="12"/>
      <c r="B181" s="19"/>
      <c r="C181" s="19"/>
      <c r="D181" s="19"/>
      <c r="E181" s="18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14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20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9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</row>
    <row r="182" spans="1:68" ht="14.25" hidden="1" customHeight="1" outlineLevel="1">
      <c r="A182" s="12"/>
      <c r="B182" s="19"/>
      <c r="C182" s="19"/>
      <c r="D182" s="19"/>
      <c r="E182" s="18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14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20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9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</row>
    <row r="183" spans="1:68" ht="14.25" hidden="1" customHeight="1" outlineLevel="1">
      <c r="A183" s="12"/>
      <c r="B183" s="19"/>
      <c r="C183" s="19"/>
      <c r="D183" s="19"/>
      <c r="E183" s="18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14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20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9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</row>
    <row r="184" spans="1:68" ht="14.25" hidden="1" customHeight="1" outlineLevel="1">
      <c r="A184" s="12"/>
      <c r="B184" s="19"/>
      <c r="C184" s="19"/>
      <c r="D184" s="19"/>
      <c r="E184" s="18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14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20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9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</row>
    <row r="185" spans="1:68" ht="14.25" hidden="1" customHeight="1" outlineLevel="1">
      <c r="A185" s="12"/>
      <c r="B185" s="19"/>
      <c r="C185" s="19"/>
      <c r="D185" s="19"/>
      <c r="E185" s="18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14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20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9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</row>
    <row r="186" spans="1:68" ht="14.25" hidden="1" customHeight="1" outlineLevel="1">
      <c r="A186" s="12"/>
      <c r="B186" s="19"/>
      <c r="C186" s="19"/>
      <c r="D186" s="19"/>
      <c r="E186" s="18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14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20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9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</row>
    <row r="187" spans="1:68" ht="14.25" hidden="1" customHeight="1" outlineLevel="1">
      <c r="A187" s="12"/>
      <c r="B187" s="19"/>
      <c r="C187" s="19"/>
      <c r="D187" s="19"/>
      <c r="E187" s="18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14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20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9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</row>
    <row r="188" spans="1:68" ht="14.25" hidden="1" customHeight="1" outlineLevel="1">
      <c r="A188" s="12"/>
      <c r="B188" s="19"/>
      <c r="C188" s="19"/>
      <c r="D188" s="19"/>
      <c r="E188" s="18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14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20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9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</row>
    <row r="189" spans="1:68" ht="14.25" hidden="1" customHeight="1" outlineLevel="1">
      <c r="A189" s="12"/>
      <c r="B189" s="19"/>
      <c r="C189" s="19"/>
      <c r="D189" s="19"/>
      <c r="E189" s="18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14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20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9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</row>
    <row r="190" spans="1:68" ht="14.25" hidden="1" customHeight="1" outlineLevel="1">
      <c r="A190" s="12"/>
      <c r="B190" s="19"/>
      <c r="C190" s="19"/>
      <c r="D190" s="19"/>
      <c r="E190" s="18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14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20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9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</row>
    <row r="191" spans="1:68" ht="14.25" hidden="1" customHeight="1" outlineLevel="1">
      <c r="A191" s="12"/>
      <c r="B191" s="19"/>
      <c r="C191" s="19"/>
      <c r="D191" s="19"/>
      <c r="E191" s="18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14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20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9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</row>
    <row r="192" spans="1:68" ht="14.25" hidden="1" customHeight="1" outlineLevel="1">
      <c r="A192" s="12"/>
      <c r="B192" s="19"/>
      <c r="C192" s="19"/>
      <c r="D192" s="19"/>
      <c r="E192" s="18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14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20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9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</row>
    <row r="193" spans="1:68" ht="14.25" hidden="1" customHeight="1" outlineLevel="1">
      <c r="A193" s="12"/>
      <c r="B193" s="19"/>
      <c r="C193" s="19"/>
      <c r="D193" s="19"/>
      <c r="E193" s="18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14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20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9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</row>
    <row r="194" spans="1:68" ht="14.25" hidden="1" customHeight="1" outlineLevel="1">
      <c r="A194" s="12"/>
      <c r="B194" s="19"/>
      <c r="C194" s="19"/>
      <c r="D194" s="19"/>
      <c r="E194" s="18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14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20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9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</row>
    <row r="195" spans="1:68" ht="14.25" hidden="1" customHeight="1" outlineLevel="1">
      <c r="A195" s="12"/>
      <c r="B195" s="19"/>
      <c r="C195" s="19"/>
      <c r="D195" s="19"/>
      <c r="E195" s="18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14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20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9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</row>
    <row r="196" spans="1:68" ht="14.25" hidden="1" customHeight="1" outlineLevel="1">
      <c r="A196" s="12"/>
      <c r="B196" s="19"/>
      <c r="C196" s="19"/>
      <c r="D196" s="19"/>
      <c r="E196" s="18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14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20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9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</row>
    <row r="197" spans="1:68" ht="14.25" hidden="1" customHeight="1" outlineLevel="1">
      <c r="A197" s="12"/>
      <c r="B197" s="19"/>
      <c r="C197" s="19"/>
      <c r="D197" s="19"/>
      <c r="E197" s="18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14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20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9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</row>
    <row r="198" spans="1:68" ht="14.25" hidden="1" customHeight="1" outlineLevel="1">
      <c r="A198" s="12"/>
      <c r="B198" s="19"/>
      <c r="C198" s="19"/>
      <c r="D198" s="19"/>
      <c r="E198" s="18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14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20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9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</row>
    <row r="199" spans="1:68" ht="14.25" hidden="1" customHeight="1" outlineLevel="1">
      <c r="A199" s="12"/>
      <c r="B199" s="19"/>
      <c r="C199" s="19"/>
      <c r="D199" s="19"/>
      <c r="E199" s="18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14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20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9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</row>
    <row r="200" spans="1:68" ht="14.25" hidden="1" customHeight="1" outlineLevel="1">
      <c r="A200" s="12"/>
      <c r="B200" s="19"/>
      <c r="C200" s="19"/>
      <c r="D200" s="19"/>
      <c r="E200" s="18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14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20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9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</row>
    <row r="201" spans="1:68" ht="14.25" hidden="1" customHeight="1" outlineLevel="1">
      <c r="A201" s="12"/>
      <c r="B201" s="19"/>
      <c r="C201" s="19"/>
      <c r="D201" s="19"/>
      <c r="E201" s="18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14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20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9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</row>
    <row r="202" spans="1:68" ht="14.25" hidden="1" customHeight="1" outlineLevel="1">
      <c r="A202" s="12"/>
      <c r="B202" s="19"/>
      <c r="C202" s="19"/>
      <c r="D202" s="19"/>
      <c r="E202" s="18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14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20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9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</row>
    <row r="203" spans="1:68" ht="14.25" hidden="1" customHeight="1" outlineLevel="1">
      <c r="A203" s="12"/>
      <c r="B203" s="19"/>
      <c r="C203" s="19"/>
      <c r="D203" s="19"/>
      <c r="E203" s="18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14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20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9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</row>
    <row r="204" spans="1:68" ht="14.25" hidden="1" customHeight="1" outlineLevel="1">
      <c r="A204" s="12"/>
      <c r="B204" s="19"/>
      <c r="C204" s="19"/>
      <c r="D204" s="19"/>
      <c r="E204" s="18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14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20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9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</row>
    <row r="205" spans="1:68" ht="14.25" hidden="1" customHeight="1" outlineLevel="1">
      <c r="A205" s="12"/>
      <c r="B205" s="19"/>
      <c r="C205" s="19"/>
      <c r="D205" s="19"/>
      <c r="E205" s="18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14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20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9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</row>
    <row r="206" spans="1:68" ht="14.25" hidden="1" customHeight="1" outlineLevel="1">
      <c r="A206" s="12"/>
      <c r="B206" s="19"/>
      <c r="C206" s="19"/>
      <c r="D206" s="19"/>
      <c r="E206" s="18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14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20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9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</row>
    <row r="207" spans="1:68" ht="14.25" hidden="1" customHeight="1" outlineLevel="1">
      <c r="A207" s="12"/>
      <c r="B207" s="19"/>
      <c r="C207" s="19"/>
      <c r="D207" s="19"/>
      <c r="E207" s="18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14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20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9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</row>
    <row r="208" spans="1:68" ht="14.25" hidden="1" customHeight="1" outlineLevel="1">
      <c r="A208" s="12"/>
      <c r="B208" s="19"/>
      <c r="C208" s="19"/>
      <c r="D208" s="19"/>
      <c r="E208" s="18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14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20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9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</row>
    <row r="209" spans="1:68" ht="14.25" hidden="1" customHeight="1" outlineLevel="1">
      <c r="A209" s="12"/>
      <c r="B209" s="19"/>
      <c r="C209" s="19"/>
      <c r="D209" s="19"/>
      <c r="E209" s="18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14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20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9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</row>
    <row r="210" spans="1:68" ht="14.25" hidden="1" customHeight="1" outlineLevel="1">
      <c r="A210" s="12"/>
      <c r="B210" s="19"/>
      <c r="C210" s="19"/>
      <c r="D210" s="19"/>
      <c r="E210" s="18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14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20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9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</row>
    <row r="211" spans="1:68" ht="14.25" hidden="1" customHeight="1" outlineLevel="1">
      <c r="A211" s="12"/>
      <c r="B211" s="19"/>
      <c r="C211" s="19"/>
      <c r="D211" s="19"/>
      <c r="E211" s="18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14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20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9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</row>
    <row r="212" spans="1:68" ht="14.25" hidden="1" customHeight="1" outlineLevel="1">
      <c r="A212" s="12"/>
      <c r="B212" s="19"/>
      <c r="C212" s="19"/>
      <c r="D212" s="19"/>
      <c r="E212" s="18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14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20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9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</row>
    <row r="213" spans="1:68" ht="14.25" hidden="1" customHeight="1" outlineLevel="1">
      <c r="A213" s="12"/>
      <c r="B213" s="19"/>
      <c r="C213" s="19"/>
      <c r="D213" s="19"/>
      <c r="E213" s="18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14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20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9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</row>
    <row r="214" spans="1:68" ht="14.25" hidden="1" customHeight="1" outlineLevel="1">
      <c r="A214" s="12"/>
      <c r="B214" s="19"/>
      <c r="C214" s="19"/>
      <c r="D214" s="19"/>
      <c r="E214" s="18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14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20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9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</row>
    <row r="215" spans="1:68" ht="14.25" hidden="1" customHeight="1" outlineLevel="1">
      <c r="A215" s="12"/>
      <c r="B215" s="19"/>
      <c r="C215" s="19"/>
      <c r="D215" s="19"/>
      <c r="E215" s="18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14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20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9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</row>
    <row r="216" spans="1:68" ht="14.25" hidden="1" customHeight="1" outlineLevel="1">
      <c r="A216" s="12"/>
      <c r="B216" s="19"/>
      <c r="C216" s="19"/>
      <c r="D216" s="19"/>
      <c r="E216" s="18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14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20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9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</row>
    <row r="217" spans="1:68" ht="14.25" hidden="1" customHeight="1" outlineLevel="1">
      <c r="A217" s="12"/>
      <c r="B217" s="19"/>
      <c r="C217" s="19"/>
      <c r="D217" s="19"/>
      <c r="E217" s="18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14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20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9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</row>
    <row r="218" spans="1:68" ht="14.25" hidden="1" customHeight="1" outlineLevel="1">
      <c r="A218" s="12"/>
      <c r="B218" s="19"/>
      <c r="C218" s="19"/>
      <c r="D218" s="19"/>
      <c r="E218" s="18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14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20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9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</row>
    <row r="219" spans="1:68" ht="14.25" hidden="1" customHeight="1" outlineLevel="1">
      <c r="A219" s="12"/>
      <c r="B219" s="19"/>
      <c r="C219" s="19"/>
      <c r="D219" s="19"/>
      <c r="E219" s="18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14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20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9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</row>
    <row r="220" spans="1:68" ht="14.25" hidden="1" customHeight="1" outlineLevel="1">
      <c r="A220" s="12"/>
      <c r="B220" s="19"/>
      <c r="C220" s="19"/>
      <c r="D220" s="19"/>
      <c r="E220" s="18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14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20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9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</row>
    <row r="221" spans="1:68" ht="14.25" hidden="1" customHeight="1" outlineLevel="1">
      <c r="A221" s="12"/>
      <c r="B221" s="19"/>
      <c r="C221" s="19"/>
      <c r="D221" s="19"/>
      <c r="E221" s="18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14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20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9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</row>
    <row r="222" spans="1:68" ht="14.25" hidden="1" customHeight="1" outlineLevel="1">
      <c r="A222" s="12"/>
      <c r="B222" s="19"/>
      <c r="C222" s="19"/>
      <c r="D222" s="19"/>
      <c r="E222" s="18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14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20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9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</row>
    <row r="223" spans="1:68" ht="14.25" hidden="1" customHeight="1" outlineLevel="1">
      <c r="A223" s="12"/>
      <c r="B223" s="19"/>
      <c r="C223" s="19"/>
      <c r="D223" s="19"/>
      <c r="E223" s="18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14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20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9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</row>
    <row r="224" spans="1:68" ht="14.25" hidden="1" customHeight="1" outlineLevel="1">
      <c r="A224" s="12"/>
      <c r="B224" s="19"/>
      <c r="C224" s="19"/>
      <c r="D224" s="19"/>
      <c r="E224" s="18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14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20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9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</row>
    <row r="225" spans="1:68" ht="14.25" hidden="1" customHeight="1" outlineLevel="1">
      <c r="A225" s="12"/>
      <c r="B225" s="19"/>
      <c r="C225" s="19"/>
      <c r="D225" s="19"/>
      <c r="E225" s="18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14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20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9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</row>
    <row r="226" spans="1:68" ht="14.25" hidden="1" customHeight="1" outlineLevel="1">
      <c r="A226" s="12"/>
      <c r="B226" s="19"/>
      <c r="C226" s="19"/>
      <c r="D226" s="19"/>
      <c r="E226" s="18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14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20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9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</row>
    <row r="227" spans="1:68" ht="14.25" hidden="1" customHeight="1" outlineLevel="1">
      <c r="A227" s="12"/>
      <c r="B227" s="19"/>
      <c r="C227" s="19"/>
      <c r="D227" s="19"/>
      <c r="E227" s="18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14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20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9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</row>
    <row r="228" spans="1:68" ht="14.25" hidden="1" customHeight="1" outlineLevel="1">
      <c r="A228" s="12"/>
      <c r="B228" s="19"/>
      <c r="C228" s="19"/>
      <c r="D228" s="19"/>
      <c r="E228" s="18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14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20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9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</row>
    <row r="229" spans="1:68" ht="14.25" hidden="1" customHeight="1" outlineLevel="1">
      <c r="A229" s="12"/>
      <c r="B229" s="19"/>
      <c r="C229" s="19"/>
      <c r="D229" s="19"/>
      <c r="E229" s="18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14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20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9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</row>
    <row r="230" spans="1:68" ht="14.25" hidden="1" customHeight="1" outlineLevel="1">
      <c r="A230" s="12"/>
      <c r="B230" s="19"/>
      <c r="C230" s="19"/>
      <c r="D230" s="19"/>
      <c r="E230" s="18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14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20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9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</row>
    <row r="231" spans="1:68" ht="14.25" hidden="1" customHeight="1" outlineLevel="1">
      <c r="A231" s="12"/>
      <c r="B231" s="19"/>
      <c r="C231" s="19"/>
      <c r="D231" s="19"/>
      <c r="E231" s="18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14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20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9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</row>
    <row r="232" spans="1:68" ht="14.25" hidden="1" customHeight="1" outlineLevel="1">
      <c r="A232" s="12"/>
      <c r="B232" s="19"/>
      <c r="C232" s="19"/>
      <c r="D232" s="19"/>
      <c r="E232" s="18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14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20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9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</row>
    <row r="233" spans="1:68" ht="14.25" hidden="1" customHeight="1" outlineLevel="1">
      <c r="A233" s="12"/>
      <c r="B233" s="19"/>
      <c r="C233" s="19"/>
      <c r="D233" s="19"/>
      <c r="E233" s="18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14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20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9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</row>
    <row r="234" spans="1:68" ht="14.25" hidden="1" customHeight="1" outlineLevel="1">
      <c r="A234" s="12"/>
      <c r="B234" s="19"/>
      <c r="C234" s="19"/>
      <c r="D234" s="19"/>
      <c r="E234" s="18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14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20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9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</row>
    <row r="235" spans="1:68" ht="14.25" hidden="1" customHeight="1" outlineLevel="1">
      <c r="A235" s="12"/>
      <c r="B235" s="19"/>
      <c r="C235" s="19"/>
      <c r="D235" s="19"/>
      <c r="E235" s="18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14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20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9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</row>
    <row r="236" spans="1:68" ht="14.25" hidden="1" customHeight="1" outlineLevel="1">
      <c r="A236" s="12"/>
      <c r="B236" s="19"/>
      <c r="C236" s="19"/>
      <c r="D236" s="19"/>
      <c r="E236" s="18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14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20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9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</row>
    <row r="237" spans="1:68" ht="14.25" hidden="1" customHeight="1" outlineLevel="1">
      <c r="A237" s="12"/>
      <c r="B237" s="19"/>
      <c r="C237" s="19"/>
      <c r="D237" s="19"/>
      <c r="E237" s="18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14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20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9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</row>
    <row r="238" spans="1:68" ht="14.25" hidden="1" customHeight="1" outlineLevel="1">
      <c r="A238" s="12"/>
      <c r="B238" s="19"/>
      <c r="C238" s="19"/>
      <c r="D238" s="19"/>
      <c r="E238" s="18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14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20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9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</row>
    <row r="239" spans="1:68" ht="14.25" hidden="1" customHeight="1" outlineLevel="1">
      <c r="A239" s="12"/>
      <c r="B239" s="19"/>
      <c r="C239" s="19"/>
      <c r="D239" s="19"/>
      <c r="E239" s="18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14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20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9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</row>
    <row r="240" spans="1:68" ht="14.25" hidden="1" customHeight="1" outlineLevel="1">
      <c r="A240" s="12"/>
      <c r="B240" s="19"/>
      <c r="C240" s="19"/>
      <c r="D240" s="19"/>
      <c r="E240" s="18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14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20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9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</row>
    <row r="241" spans="1:68" ht="14.25" hidden="1" customHeight="1" outlineLevel="1">
      <c r="A241" s="12"/>
      <c r="B241" s="19"/>
      <c r="C241" s="19"/>
      <c r="D241" s="19"/>
      <c r="E241" s="18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14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20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9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</row>
    <row r="242" spans="1:68" ht="14.25" hidden="1" customHeight="1" outlineLevel="1">
      <c r="A242" s="12"/>
      <c r="B242" s="19"/>
      <c r="C242" s="19"/>
      <c r="D242" s="19"/>
      <c r="E242" s="18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14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20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9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</row>
    <row r="243" spans="1:68" ht="14.25" hidden="1" customHeight="1" outlineLevel="1">
      <c r="A243" s="12"/>
      <c r="B243" s="19"/>
      <c r="C243" s="19"/>
      <c r="D243" s="19"/>
      <c r="E243" s="18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14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20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9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</row>
    <row r="244" spans="1:68" ht="14.25" hidden="1" customHeight="1" outlineLevel="1">
      <c r="A244" s="12"/>
      <c r="B244" s="19"/>
      <c r="C244" s="19"/>
      <c r="D244" s="19"/>
      <c r="E244" s="18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14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20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9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</row>
    <row r="245" spans="1:68" ht="14.25" hidden="1" customHeight="1" outlineLevel="1">
      <c r="A245" s="12"/>
      <c r="B245" s="19"/>
      <c r="C245" s="19"/>
      <c r="D245" s="19"/>
      <c r="E245" s="18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14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20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9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</row>
    <row r="246" spans="1:68" ht="14.25" hidden="1" customHeight="1" outlineLevel="1">
      <c r="A246" s="12"/>
      <c r="B246" s="19"/>
      <c r="C246" s="19"/>
      <c r="D246" s="19"/>
      <c r="E246" s="18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14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20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9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</row>
    <row r="247" spans="1:68" ht="14.25" hidden="1" customHeight="1" outlineLevel="1">
      <c r="A247" s="12"/>
      <c r="B247" s="19"/>
      <c r="C247" s="19"/>
      <c r="D247" s="19"/>
      <c r="E247" s="18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14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20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9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</row>
    <row r="248" spans="1:68" ht="14.25" hidden="1" customHeight="1" outlineLevel="1">
      <c r="A248" s="12"/>
      <c r="B248" s="19"/>
      <c r="C248" s="19"/>
      <c r="D248" s="19"/>
      <c r="E248" s="18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14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20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9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</row>
    <row r="249" spans="1:68" ht="14.25" hidden="1" customHeight="1" outlineLevel="1">
      <c r="A249" s="12"/>
      <c r="B249" s="19"/>
      <c r="C249" s="19"/>
      <c r="D249" s="19"/>
      <c r="E249" s="18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14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20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9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</row>
    <row r="250" spans="1:68" ht="14.25" hidden="1" customHeight="1" outlineLevel="1">
      <c r="A250" s="12"/>
      <c r="B250" s="19"/>
      <c r="C250" s="19"/>
      <c r="D250" s="19"/>
      <c r="E250" s="18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14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20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9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</row>
    <row r="251" spans="1:68" ht="14.25" hidden="1" customHeight="1" outlineLevel="1">
      <c r="A251" s="12"/>
      <c r="B251" s="19"/>
      <c r="C251" s="19"/>
      <c r="D251" s="19"/>
      <c r="E251" s="18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14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20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9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</row>
    <row r="252" spans="1:68" ht="14.25" hidden="1" customHeight="1" outlineLevel="1">
      <c r="A252" s="12"/>
      <c r="B252" s="19"/>
      <c r="C252" s="19"/>
      <c r="D252" s="19"/>
      <c r="E252" s="18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14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20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9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</row>
    <row r="253" spans="1:68" ht="14.25" hidden="1" customHeight="1" outlineLevel="1">
      <c r="A253" s="12"/>
      <c r="B253" s="19"/>
      <c r="C253" s="19"/>
      <c r="D253" s="19"/>
      <c r="E253" s="18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14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20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9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</row>
    <row r="254" spans="1:68" ht="14.25" hidden="1" customHeight="1" outlineLevel="1">
      <c r="A254" s="12"/>
      <c r="B254" s="19"/>
      <c r="C254" s="19"/>
      <c r="D254" s="19"/>
      <c r="E254" s="18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14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20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9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</row>
    <row r="255" spans="1:68" ht="14.25" hidden="1" customHeight="1" outlineLevel="1">
      <c r="A255" s="12"/>
      <c r="B255" s="19"/>
      <c r="C255" s="19"/>
      <c r="D255" s="19"/>
      <c r="E255" s="18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14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20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9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</row>
    <row r="256" spans="1:68" ht="14.25" hidden="1" customHeight="1" outlineLevel="1">
      <c r="A256" s="12"/>
      <c r="B256" s="19"/>
      <c r="C256" s="19"/>
      <c r="D256" s="19"/>
      <c r="E256" s="18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14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20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9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</row>
    <row r="257" spans="1:68" ht="14.25" hidden="1" customHeight="1" outlineLevel="1">
      <c r="A257" s="12"/>
      <c r="B257" s="19"/>
      <c r="C257" s="19"/>
      <c r="D257" s="19"/>
      <c r="E257" s="18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14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20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9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</row>
    <row r="258" spans="1:68" ht="14.25" hidden="1" customHeight="1" outlineLevel="1">
      <c r="A258" s="12"/>
      <c r="B258" s="19"/>
      <c r="C258" s="19"/>
      <c r="D258" s="19"/>
      <c r="E258" s="18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14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20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9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</row>
    <row r="259" spans="1:68" ht="14.25" hidden="1" customHeight="1" outlineLevel="1">
      <c r="A259" s="12"/>
      <c r="B259" s="19"/>
      <c r="C259" s="19"/>
      <c r="D259" s="19"/>
      <c r="E259" s="18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14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20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9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</row>
    <row r="260" spans="1:68" ht="14.25" hidden="1" customHeight="1" outlineLevel="1">
      <c r="A260" s="12"/>
      <c r="B260" s="19"/>
      <c r="C260" s="19"/>
      <c r="D260" s="19"/>
      <c r="E260" s="18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14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20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9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</row>
    <row r="261" spans="1:68" ht="14.25" hidden="1" customHeight="1" outlineLevel="1">
      <c r="A261" s="12"/>
      <c r="B261" s="19"/>
      <c r="C261" s="19"/>
      <c r="D261" s="19"/>
      <c r="E261" s="18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14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20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9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</row>
    <row r="262" spans="1:68" ht="14.25" hidden="1" customHeight="1" outlineLevel="1">
      <c r="A262" s="12"/>
      <c r="B262" s="19"/>
      <c r="C262" s="19"/>
      <c r="D262" s="19"/>
      <c r="E262" s="18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14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20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9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</row>
    <row r="263" spans="1:68" ht="14.25" hidden="1" customHeight="1" outlineLevel="1">
      <c r="A263" s="12"/>
      <c r="B263" s="19"/>
      <c r="C263" s="19"/>
      <c r="D263" s="19"/>
      <c r="E263" s="18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14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20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9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</row>
    <row r="264" spans="1:68" ht="14.25" hidden="1" customHeight="1" outlineLevel="1">
      <c r="A264" s="12"/>
      <c r="B264" s="19"/>
      <c r="C264" s="19"/>
      <c r="D264" s="19"/>
      <c r="E264" s="18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14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20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9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</row>
    <row r="265" spans="1:68" ht="14.25" hidden="1" customHeight="1" outlineLevel="1">
      <c r="A265" s="12"/>
      <c r="B265" s="19"/>
      <c r="C265" s="19"/>
      <c r="D265" s="19"/>
      <c r="E265" s="18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14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20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9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</row>
    <row r="266" spans="1:68" ht="14.25" hidden="1" customHeight="1" outlineLevel="1">
      <c r="A266" s="12"/>
      <c r="B266" s="19"/>
      <c r="C266" s="19"/>
      <c r="D266" s="19"/>
      <c r="E266" s="18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14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20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9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</row>
    <row r="267" spans="1:68" ht="14.25" hidden="1" customHeight="1" outlineLevel="1">
      <c r="A267" s="12"/>
      <c r="B267" s="19"/>
      <c r="C267" s="19"/>
      <c r="D267" s="19"/>
      <c r="E267" s="18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14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20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9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</row>
    <row r="268" spans="1:68" ht="14.25" hidden="1" customHeight="1" outlineLevel="1">
      <c r="A268" s="12"/>
      <c r="B268" s="19"/>
      <c r="C268" s="19"/>
      <c r="D268" s="19"/>
      <c r="E268" s="18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14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20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9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</row>
    <row r="269" spans="1:68" ht="14.25" hidden="1" customHeight="1" outlineLevel="1">
      <c r="A269" s="12"/>
      <c r="B269" s="19"/>
      <c r="C269" s="19"/>
      <c r="D269" s="19"/>
      <c r="E269" s="18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14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20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9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</row>
    <row r="270" spans="1:68" ht="14.25" hidden="1" customHeight="1" outlineLevel="1">
      <c r="A270" s="12"/>
      <c r="B270" s="19"/>
      <c r="C270" s="19"/>
      <c r="D270" s="19"/>
      <c r="E270" s="18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14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20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9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</row>
    <row r="271" spans="1:68" ht="14.25" hidden="1" customHeight="1" outlineLevel="1">
      <c r="A271" s="12"/>
      <c r="B271" s="19"/>
      <c r="C271" s="19"/>
      <c r="D271" s="19"/>
      <c r="E271" s="18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14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20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9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</row>
    <row r="272" spans="1:68" ht="14.25" hidden="1" customHeight="1" outlineLevel="1">
      <c r="A272" s="12"/>
      <c r="B272" s="19"/>
      <c r="C272" s="19"/>
      <c r="D272" s="19"/>
      <c r="E272" s="18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14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20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9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</row>
    <row r="273" spans="1:68" ht="14.25" hidden="1" customHeight="1" outlineLevel="1">
      <c r="A273" s="12"/>
      <c r="B273" s="19"/>
      <c r="C273" s="19"/>
      <c r="D273" s="19"/>
      <c r="E273" s="18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14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20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9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</row>
    <row r="274" spans="1:68" ht="14.25" hidden="1" customHeight="1" outlineLevel="1">
      <c r="A274" s="12"/>
      <c r="B274" s="19"/>
      <c r="C274" s="19"/>
      <c r="D274" s="19"/>
      <c r="E274" s="18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14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20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9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</row>
    <row r="275" spans="1:68" ht="14.25" hidden="1" customHeight="1" outlineLevel="1">
      <c r="A275" s="12"/>
      <c r="B275" s="19"/>
      <c r="C275" s="19"/>
      <c r="D275" s="19"/>
      <c r="E275" s="18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14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20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9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</row>
    <row r="276" spans="1:68" ht="14.25" hidden="1" customHeight="1" outlineLevel="1">
      <c r="A276" s="12"/>
      <c r="B276" s="19"/>
      <c r="C276" s="19"/>
      <c r="D276" s="19"/>
      <c r="E276" s="18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14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20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9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</row>
    <row r="277" spans="1:68" ht="14.25" hidden="1" customHeight="1" outlineLevel="1">
      <c r="A277" s="12"/>
      <c r="B277" s="19"/>
      <c r="C277" s="19"/>
      <c r="D277" s="19"/>
      <c r="E277" s="18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14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20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9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</row>
    <row r="278" spans="1:68" ht="14.25" hidden="1" customHeight="1" outlineLevel="1">
      <c r="A278" s="12"/>
      <c r="B278" s="19"/>
      <c r="C278" s="19"/>
      <c r="D278" s="19"/>
      <c r="E278" s="18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14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20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9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</row>
    <row r="279" spans="1:68" ht="14.25" hidden="1" customHeight="1" outlineLevel="1">
      <c r="A279" s="12"/>
      <c r="B279" s="19"/>
      <c r="C279" s="19"/>
      <c r="D279" s="19"/>
      <c r="E279" s="18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14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20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9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</row>
    <row r="280" spans="1:68" ht="14.25" hidden="1" customHeight="1" outlineLevel="1">
      <c r="A280" s="12"/>
      <c r="B280" s="19"/>
      <c r="C280" s="19"/>
      <c r="D280" s="19"/>
      <c r="E280" s="18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14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20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9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</row>
    <row r="281" spans="1:68" ht="14.25" hidden="1" customHeight="1" outlineLevel="1">
      <c r="A281" s="12"/>
      <c r="B281" s="19"/>
      <c r="C281" s="19"/>
      <c r="D281" s="19"/>
      <c r="E281" s="18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14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20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9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</row>
    <row r="282" spans="1:68" ht="14.25" hidden="1" customHeight="1" outlineLevel="1">
      <c r="A282" s="12"/>
      <c r="B282" s="19"/>
      <c r="C282" s="19"/>
      <c r="D282" s="19"/>
      <c r="E282" s="18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14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20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9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</row>
    <row r="283" spans="1:68" ht="14.25" hidden="1" customHeight="1" outlineLevel="1">
      <c r="A283" s="12"/>
      <c r="B283" s="19"/>
      <c r="C283" s="19"/>
      <c r="D283" s="19"/>
      <c r="E283" s="18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14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20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9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</row>
    <row r="284" spans="1:68" ht="14.25" hidden="1" customHeight="1" outlineLevel="1">
      <c r="A284" s="12"/>
      <c r="B284" s="19"/>
      <c r="C284" s="19"/>
      <c r="D284" s="19"/>
      <c r="E284" s="18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14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20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9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</row>
    <row r="285" spans="1:68" ht="14.25" hidden="1" customHeight="1" outlineLevel="1">
      <c r="A285" s="12"/>
      <c r="B285" s="19"/>
      <c r="C285" s="19"/>
      <c r="D285" s="19"/>
      <c r="E285" s="18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14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20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9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</row>
    <row r="286" spans="1:68" ht="14.25" hidden="1" customHeight="1" outlineLevel="1">
      <c r="A286" s="12"/>
      <c r="B286" s="19"/>
      <c r="C286" s="19"/>
      <c r="D286" s="19"/>
      <c r="E286" s="18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14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20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9"/>
      <c r="BC286" s="18"/>
      <c r="BD286" s="18"/>
      <c r="BE286" s="18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</row>
    <row r="287" spans="1:68" ht="14.25" hidden="1" customHeight="1" outlineLevel="1">
      <c r="A287" s="12"/>
      <c r="B287" s="19"/>
      <c r="C287" s="19"/>
      <c r="D287" s="19"/>
      <c r="E287" s="18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14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20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9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</row>
    <row r="288" spans="1:68" ht="14.25" hidden="1" customHeight="1" outlineLevel="1">
      <c r="A288" s="12"/>
      <c r="B288" s="19"/>
      <c r="C288" s="19"/>
      <c r="D288" s="19"/>
      <c r="E288" s="18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14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20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9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</row>
    <row r="289" spans="1:68" ht="14.25" hidden="1" customHeight="1" outlineLevel="1">
      <c r="A289" s="12"/>
      <c r="B289" s="19"/>
      <c r="C289" s="19"/>
      <c r="D289" s="19"/>
      <c r="E289" s="18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14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20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9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</row>
    <row r="290" spans="1:68" ht="14.25" hidden="1" customHeight="1" outlineLevel="1">
      <c r="A290" s="12"/>
      <c r="B290" s="19"/>
      <c r="C290" s="19"/>
      <c r="D290" s="19"/>
      <c r="E290" s="18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14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20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9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</row>
    <row r="291" spans="1:68" ht="14.25" hidden="1" customHeight="1" outlineLevel="1">
      <c r="A291" s="12"/>
      <c r="B291" s="19"/>
      <c r="C291" s="19"/>
      <c r="D291" s="19"/>
      <c r="E291" s="18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14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20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9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</row>
    <row r="292" spans="1:68" ht="14.25" hidden="1" customHeight="1" outlineLevel="1">
      <c r="A292" s="12"/>
      <c r="B292" s="19"/>
      <c r="C292" s="19"/>
      <c r="D292" s="19"/>
      <c r="E292" s="18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14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20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9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</row>
    <row r="293" spans="1:68" ht="14.25" hidden="1" customHeight="1" outlineLevel="1">
      <c r="A293" s="12"/>
      <c r="B293" s="19"/>
      <c r="C293" s="19"/>
      <c r="D293" s="19"/>
      <c r="E293" s="18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14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20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9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</row>
    <row r="294" spans="1:68" ht="14.25" hidden="1" customHeight="1" outlineLevel="1">
      <c r="A294" s="12"/>
      <c r="B294" s="19"/>
      <c r="C294" s="19"/>
      <c r="D294" s="19"/>
      <c r="E294" s="18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14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20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9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</row>
    <row r="295" spans="1:68" ht="14.25" hidden="1" customHeight="1" outlineLevel="1">
      <c r="A295" s="12"/>
      <c r="B295" s="19"/>
      <c r="C295" s="19"/>
      <c r="D295" s="19"/>
      <c r="E295" s="18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14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20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9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</row>
    <row r="296" spans="1:68" ht="14.25" hidden="1" customHeight="1" outlineLevel="1">
      <c r="A296" s="12"/>
      <c r="B296" s="19"/>
      <c r="C296" s="19"/>
      <c r="D296" s="19"/>
      <c r="E296" s="18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14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20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9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</row>
    <row r="297" spans="1:68" ht="14.25" hidden="1" customHeight="1" outlineLevel="1">
      <c r="A297" s="12"/>
      <c r="B297" s="19"/>
      <c r="C297" s="19"/>
      <c r="D297" s="19"/>
      <c r="E297" s="18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14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20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9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</row>
    <row r="298" spans="1:68" ht="14.25" hidden="1" customHeight="1" outlineLevel="1">
      <c r="A298" s="12"/>
      <c r="B298" s="19"/>
      <c r="C298" s="19"/>
      <c r="D298" s="19"/>
      <c r="E298" s="18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14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20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9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</row>
    <row r="299" spans="1:68" ht="14.25" hidden="1" customHeight="1" outlineLevel="1">
      <c r="A299" s="12"/>
      <c r="B299" s="19"/>
      <c r="C299" s="19"/>
      <c r="D299" s="19"/>
      <c r="E299" s="18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14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20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9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</row>
    <row r="300" spans="1:68" ht="14.25" hidden="1" customHeight="1" outlineLevel="1">
      <c r="A300" s="12"/>
      <c r="B300" s="19"/>
      <c r="C300" s="19"/>
      <c r="D300" s="19"/>
      <c r="E300" s="18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14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20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9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</row>
    <row r="301" spans="1:68" ht="14.25" hidden="1" customHeight="1" outlineLevel="1">
      <c r="A301" s="12"/>
      <c r="B301" s="19"/>
      <c r="C301" s="19"/>
      <c r="D301" s="19"/>
      <c r="E301" s="18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14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20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9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</row>
    <row r="302" spans="1:68" ht="14.25" hidden="1" customHeight="1" outlineLevel="1">
      <c r="A302" s="12"/>
      <c r="B302" s="19"/>
      <c r="C302" s="19"/>
      <c r="D302" s="19"/>
      <c r="E302" s="18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14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20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9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</row>
    <row r="303" spans="1:68" ht="14.25" hidden="1" customHeight="1" outlineLevel="1">
      <c r="A303" s="12"/>
      <c r="B303" s="19"/>
      <c r="C303" s="19"/>
      <c r="D303" s="19"/>
      <c r="E303" s="18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14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20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9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</row>
    <row r="304" spans="1:68" ht="14.25" hidden="1" customHeight="1" outlineLevel="1">
      <c r="A304" s="12"/>
      <c r="B304" s="19"/>
      <c r="C304" s="19"/>
      <c r="D304" s="19"/>
      <c r="E304" s="18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14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20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9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</row>
    <row r="305" spans="1:68" ht="14.25" hidden="1" customHeight="1" outlineLevel="1">
      <c r="A305" s="12"/>
      <c r="B305" s="19"/>
      <c r="C305" s="19"/>
      <c r="D305" s="19"/>
      <c r="E305" s="18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14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20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9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</row>
    <row r="306" spans="1:68" ht="14.25" hidden="1" customHeight="1" outlineLevel="1">
      <c r="A306" s="12"/>
      <c r="B306" s="19"/>
      <c r="C306" s="19"/>
      <c r="D306" s="19"/>
      <c r="E306" s="18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14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20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9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</row>
    <row r="307" spans="1:68" ht="14.25" hidden="1" customHeight="1" outlineLevel="1">
      <c r="A307" s="12"/>
      <c r="B307" s="19"/>
      <c r="C307" s="19"/>
      <c r="D307" s="19"/>
      <c r="E307" s="18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14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20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9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</row>
    <row r="308" spans="1:68" ht="14.25" hidden="1" customHeight="1" outlineLevel="1">
      <c r="A308" s="12"/>
      <c r="B308" s="19"/>
      <c r="C308" s="19"/>
      <c r="D308" s="19"/>
      <c r="E308" s="18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14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20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9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</row>
    <row r="309" spans="1:68" ht="14.25" hidden="1" customHeight="1" outlineLevel="1">
      <c r="A309" s="12"/>
      <c r="B309" s="19"/>
      <c r="C309" s="19"/>
      <c r="D309" s="19"/>
      <c r="E309" s="18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14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20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9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</row>
    <row r="310" spans="1:68" ht="14.25" hidden="1" customHeight="1" outlineLevel="1">
      <c r="A310" s="12"/>
      <c r="B310" s="19"/>
      <c r="C310" s="19"/>
      <c r="D310" s="19"/>
      <c r="E310" s="18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14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20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9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</row>
    <row r="311" spans="1:68" ht="14.25" hidden="1" customHeight="1" outlineLevel="1">
      <c r="A311" s="12"/>
      <c r="B311" s="19"/>
      <c r="C311" s="19"/>
      <c r="D311" s="19"/>
      <c r="E311" s="18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14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20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9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</row>
    <row r="312" spans="1:68" ht="14.25" hidden="1" customHeight="1" outlineLevel="1">
      <c r="A312" s="12"/>
      <c r="B312" s="19"/>
      <c r="C312" s="19"/>
      <c r="D312" s="19"/>
      <c r="E312" s="18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14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20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9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</row>
    <row r="313" spans="1:68" ht="14.25" hidden="1" customHeight="1" outlineLevel="1">
      <c r="A313" s="12"/>
      <c r="B313" s="19"/>
      <c r="C313" s="19"/>
      <c r="D313" s="19"/>
      <c r="E313" s="18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14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20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9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</row>
    <row r="314" spans="1:68" ht="14.25" hidden="1" customHeight="1" outlineLevel="1">
      <c r="A314" s="12"/>
      <c r="B314" s="19"/>
      <c r="C314" s="19"/>
      <c r="D314" s="19"/>
      <c r="E314" s="18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14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20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9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</row>
    <row r="315" spans="1:68" ht="14.25" hidden="1" customHeight="1" outlineLevel="1">
      <c r="A315" s="12"/>
      <c r="B315" s="19"/>
      <c r="C315" s="19"/>
      <c r="D315" s="19"/>
      <c r="E315" s="18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14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20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9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</row>
    <row r="316" spans="1:68" ht="14.25" hidden="1" customHeight="1" outlineLevel="1">
      <c r="A316" s="12"/>
      <c r="B316" s="19"/>
      <c r="C316" s="19"/>
      <c r="D316" s="19"/>
      <c r="E316" s="18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14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20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9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</row>
    <row r="317" spans="1:68" ht="14.25" hidden="1" customHeight="1" outlineLevel="1">
      <c r="A317" s="12"/>
      <c r="B317" s="19"/>
      <c r="C317" s="19"/>
      <c r="D317" s="19"/>
      <c r="E317" s="18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14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20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9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</row>
    <row r="318" spans="1:68" ht="14.25" hidden="1" customHeight="1" outlineLevel="1">
      <c r="A318" s="12"/>
      <c r="B318" s="19"/>
      <c r="C318" s="19"/>
      <c r="D318" s="19"/>
      <c r="E318" s="18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14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20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9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</row>
    <row r="319" spans="1:68" ht="14.25" hidden="1" customHeight="1" outlineLevel="1">
      <c r="A319" s="12"/>
      <c r="B319" s="19"/>
      <c r="C319" s="19"/>
      <c r="D319" s="19"/>
      <c r="E319" s="18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14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20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9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</row>
    <row r="320" spans="1:68" ht="14.25" hidden="1" customHeight="1" outlineLevel="1">
      <c r="A320" s="12"/>
      <c r="B320" s="19"/>
      <c r="C320" s="19"/>
      <c r="D320" s="19"/>
      <c r="E320" s="18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14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20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9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</row>
    <row r="321" spans="1:68" ht="14.25" hidden="1" customHeight="1" outlineLevel="1">
      <c r="A321" s="12"/>
      <c r="B321" s="19"/>
      <c r="C321" s="19"/>
      <c r="D321" s="19"/>
      <c r="E321" s="18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14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20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9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</row>
    <row r="322" spans="1:68" ht="14.25" hidden="1" customHeight="1" outlineLevel="1">
      <c r="A322" s="12"/>
      <c r="B322" s="19"/>
      <c r="C322" s="19"/>
      <c r="D322" s="19"/>
      <c r="E322" s="18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14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20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9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</row>
    <row r="323" spans="1:68" ht="14.25" hidden="1" customHeight="1" outlineLevel="1">
      <c r="A323" s="12"/>
      <c r="B323" s="19"/>
      <c r="C323" s="19"/>
      <c r="D323" s="19"/>
      <c r="E323" s="18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14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20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9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</row>
    <row r="324" spans="1:68" ht="14.25" hidden="1" customHeight="1" outlineLevel="1">
      <c r="A324" s="12"/>
      <c r="B324" s="19"/>
      <c r="C324" s="19"/>
      <c r="D324" s="19"/>
      <c r="E324" s="18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14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20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9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</row>
    <row r="325" spans="1:68" ht="14.25" hidden="1" customHeight="1" outlineLevel="1">
      <c r="A325" s="12"/>
      <c r="B325" s="19"/>
      <c r="C325" s="19"/>
      <c r="D325" s="19"/>
      <c r="E325" s="18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14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20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9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</row>
    <row r="326" spans="1:68" ht="14.25" hidden="1" customHeight="1" outlineLevel="1">
      <c r="A326" s="12"/>
      <c r="B326" s="19"/>
      <c r="C326" s="19"/>
      <c r="D326" s="19"/>
      <c r="E326" s="18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14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20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9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</row>
    <row r="327" spans="1:68" ht="14.25" hidden="1" customHeight="1" outlineLevel="1">
      <c r="A327" s="12"/>
      <c r="B327" s="19"/>
      <c r="C327" s="19"/>
      <c r="D327" s="19"/>
      <c r="E327" s="18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14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20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9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</row>
    <row r="328" spans="1:68" ht="14.25" hidden="1" customHeight="1" outlineLevel="1">
      <c r="A328" s="12"/>
      <c r="B328" s="19"/>
      <c r="C328" s="19"/>
      <c r="D328" s="19"/>
      <c r="E328" s="18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14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20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9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</row>
    <row r="329" spans="1:68" ht="14.25" hidden="1" customHeight="1" outlineLevel="1">
      <c r="A329" s="12"/>
      <c r="B329" s="19"/>
      <c r="C329" s="19"/>
      <c r="D329" s="19"/>
      <c r="E329" s="18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14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20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9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</row>
    <row r="330" spans="1:68" ht="14.25" hidden="1" customHeight="1" outlineLevel="1">
      <c r="A330" s="12"/>
      <c r="B330" s="19"/>
      <c r="C330" s="19"/>
      <c r="D330" s="19"/>
      <c r="E330" s="18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14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20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9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</row>
    <row r="331" spans="1:68" ht="14.25" hidden="1" customHeight="1" outlineLevel="1">
      <c r="A331" s="12"/>
      <c r="B331" s="19"/>
      <c r="C331" s="19"/>
      <c r="D331" s="19"/>
      <c r="E331" s="18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14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20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9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</row>
    <row r="332" spans="1:68" ht="14.25" hidden="1" customHeight="1" outlineLevel="1">
      <c r="A332" s="12"/>
      <c r="B332" s="19"/>
      <c r="C332" s="19"/>
      <c r="D332" s="19"/>
      <c r="E332" s="18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14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20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9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</row>
    <row r="333" spans="1:68" ht="14.25" hidden="1" customHeight="1" outlineLevel="1">
      <c r="A333" s="12"/>
      <c r="B333" s="19"/>
      <c r="C333" s="19"/>
      <c r="D333" s="19"/>
      <c r="E333" s="18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14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20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9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</row>
    <row r="334" spans="1:68" ht="14.25" hidden="1" customHeight="1" outlineLevel="1">
      <c r="A334" s="12"/>
      <c r="B334" s="19"/>
      <c r="C334" s="19"/>
      <c r="D334" s="19"/>
      <c r="E334" s="18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14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20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9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</row>
    <row r="335" spans="1:68" ht="14.25" hidden="1" customHeight="1" outlineLevel="1">
      <c r="A335" s="12"/>
      <c r="B335" s="19"/>
      <c r="C335" s="19"/>
      <c r="D335" s="19"/>
      <c r="E335" s="18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14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20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9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</row>
    <row r="336" spans="1:68" ht="14.25" hidden="1" customHeight="1" outlineLevel="1">
      <c r="A336" s="12"/>
      <c r="B336" s="19"/>
      <c r="C336" s="19"/>
      <c r="D336" s="19"/>
      <c r="E336" s="18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14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20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9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</row>
    <row r="337" spans="1:68" ht="14.25" hidden="1" customHeight="1" outlineLevel="1">
      <c r="A337" s="12"/>
      <c r="B337" s="19"/>
      <c r="C337" s="19"/>
      <c r="D337" s="19"/>
      <c r="E337" s="18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14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20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9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</row>
    <row r="338" spans="1:68" ht="14.25" hidden="1" customHeight="1" outlineLevel="1">
      <c r="A338" s="12"/>
      <c r="B338" s="19"/>
      <c r="C338" s="19"/>
      <c r="D338" s="19"/>
      <c r="E338" s="18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14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20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9"/>
      <c r="BC338" s="18"/>
      <c r="BD338" s="18"/>
      <c r="BE338" s="18"/>
      <c r="BF338" s="18"/>
      <c r="BG338" s="18"/>
      <c r="BH338" s="18"/>
      <c r="BI338" s="18"/>
      <c r="BJ338" s="18"/>
      <c r="BK338" s="18"/>
      <c r="BL338" s="18"/>
      <c r="BM338" s="18"/>
      <c r="BN338" s="18"/>
      <c r="BO338" s="18"/>
      <c r="BP338" s="18"/>
    </row>
    <row r="339" spans="1:68" ht="14.25" hidden="1" customHeight="1" outlineLevel="1">
      <c r="A339" s="12"/>
      <c r="B339" s="19"/>
      <c r="C339" s="19"/>
      <c r="D339" s="19"/>
      <c r="E339" s="18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14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20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9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</row>
    <row r="340" spans="1:68" ht="14.25" hidden="1" customHeight="1" outlineLevel="1">
      <c r="A340" s="12"/>
      <c r="B340" s="19"/>
      <c r="C340" s="19"/>
      <c r="D340" s="19"/>
      <c r="E340" s="18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14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20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9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</row>
    <row r="341" spans="1:68" ht="14.25" hidden="1" customHeight="1" outlineLevel="1">
      <c r="A341" s="12"/>
      <c r="B341" s="19"/>
      <c r="C341" s="19"/>
      <c r="D341" s="19"/>
      <c r="E341" s="18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14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20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9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</row>
    <row r="342" spans="1:68" ht="14.25" hidden="1" customHeight="1" outlineLevel="1">
      <c r="A342" s="12"/>
      <c r="B342" s="19"/>
      <c r="C342" s="19"/>
      <c r="D342" s="19"/>
      <c r="E342" s="18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14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20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9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</row>
    <row r="343" spans="1:68" ht="14.25" hidden="1" customHeight="1" outlineLevel="1">
      <c r="A343" s="12"/>
      <c r="B343" s="19"/>
      <c r="C343" s="19"/>
      <c r="D343" s="19"/>
      <c r="E343" s="18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14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20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9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</row>
    <row r="344" spans="1:68" ht="14.25" hidden="1" customHeight="1" outlineLevel="1">
      <c r="A344" s="12"/>
      <c r="B344" s="19"/>
      <c r="C344" s="19"/>
      <c r="D344" s="19"/>
      <c r="E344" s="18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14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20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9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</row>
    <row r="345" spans="1:68" ht="14.25" hidden="1" customHeight="1" outlineLevel="1">
      <c r="A345" s="12"/>
      <c r="B345" s="19"/>
      <c r="C345" s="19"/>
      <c r="D345" s="19"/>
      <c r="E345" s="18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14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20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9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</row>
    <row r="346" spans="1:68" ht="14.25" hidden="1" customHeight="1" outlineLevel="1">
      <c r="A346" s="12"/>
      <c r="B346" s="19"/>
      <c r="C346" s="19"/>
      <c r="D346" s="19"/>
      <c r="E346" s="18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14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20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9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</row>
    <row r="347" spans="1:68" ht="14.25" hidden="1" customHeight="1" outlineLevel="1">
      <c r="A347" s="12"/>
      <c r="B347" s="19"/>
      <c r="C347" s="19"/>
      <c r="D347" s="19"/>
      <c r="E347" s="18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14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20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9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</row>
    <row r="348" spans="1:68" ht="14.25" hidden="1" customHeight="1" outlineLevel="1">
      <c r="A348" s="12"/>
      <c r="B348" s="19"/>
      <c r="C348" s="19"/>
      <c r="D348" s="19"/>
      <c r="E348" s="18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14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20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9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</row>
    <row r="349" spans="1:68" ht="14.25" hidden="1" customHeight="1" outlineLevel="1">
      <c r="A349" s="12"/>
      <c r="B349" s="19"/>
      <c r="C349" s="19"/>
      <c r="D349" s="19"/>
      <c r="E349" s="18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14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20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9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</row>
    <row r="350" spans="1:68" ht="14.25" hidden="1" customHeight="1" outlineLevel="1">
      <c r="A350" s="12"/>
      <c r="B350" s="19"/>
      <c r="C350" s="19"/>
      <c r="D350" s="19"/>
      <c r="E350" s="18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14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20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9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</row>
    <row r="351" spans="1:68" ht="14.25" hidden="1" customHeight="1" outlineLevel="1">
      <c r="A351" s="12"/>
      <c r="B351" s="19"/>
      <c r="C351" s="19"/>
      <c r="D351" s="19"/>
      <c r="E351" s="18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14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20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9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</row>
    <row r="352" spans="1:68" ht="14.25" hidden="1" customHeight="1" outlineLevel="1">
      <c r="A352" s="12"/>
      <c r="B352" s="19"/>
      <c r="C352" s="19"/>
      <c r="D352" s="19"/>
      <c r="E352" s="18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14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20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9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</row>
    <row r="353" spans="1:68" ht="14.25" hidden="1" customHeight="1" outlineLevel="1">
      <c r="A353" s="12"/>
      <c r="B353" s="19"/>
      <c r="C353" s="19"/>
      <c r="D353" s="19"/>
      <c r="E353" s="18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14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20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9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</row>
    <row r="354" spans="1:68" ht="14.25" hidden="1" customHeight="1" outlineLevel="1">
      <c r="A354" s="12"/>
      <c r="B354" s="19"/>
      <c r="C354" s="19"/>
      <c r="D354" s="19"/>
      <c r="E354" s="18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14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20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9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</row>
    <row r="355" spans="1:68" ht="14.25" hidden="1" customHeight="1" outlineLevel="1">
      <c r="A355" s="12"/>
      <c r="B355" s="19"/>
      <c r="C355" s="19"/>
      <c r="D355" s="19"/>
      <c r="E355" s="18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14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20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9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</row>
    <row r="356" spans="1:68" ht="14.25" hidden="1" customHeight="1" outlineLevel="1">
      <c r="A356" s="12"/>
      <c r="B356" s="19"/>
      <c r="C356" s="19"/>
      <c r="D356" s="19"/>
      <c r="E356" s="18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14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20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9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</row>
    <row r="357" spans="1:68" ht="14.25" hidden="1" customHeight="1" outlineLevel="1">
      <c r="A357" s="12"/>
      <c r="B357" s="19"/>
      <c r="C357" s="19"/>
      <c r="D357" s="19"/>
      <c r="E357" s="18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14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20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9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</row>
    <row r="358" spans="1:68" ht="14.25" hidden="1" customHeight="1" outlineLevel="1">
      <c r="A358" s="12"/>
      <c r="B358" s="19"/>
      <c r="C358" s="19"/>
      <c r="D358" s="19"/>
      <c r="E358" s="18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14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20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9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</row>
    <row r="359" spans="1:68" ht="14.25" hidden="1" customHeight="1" outlineLevel="1">
      <c r="A359" s="12"/>
      <c r="B359" s="19"/>
      <c r="C359" s="19"/>
      <c r="D359" s="19"/>
      <c r="E359" s="18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14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20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9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</row>
    <row r="360" spans="1:68" ht="14.25" hidden="1" customHeight="1" outlineLevel="1">
      <c r="A360" s="12"/>
      <c r="B360" s="19"/>
      <c r="C360" s="19"/>
      <c r="D360" s="19"/>
      <c r="E360" s="18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14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20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9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</row>
    <row r="361" spans="1:68" ht="14.25" hidden="1" customHeight="1" outlineLevel="1">
      <c r="A361" s="12"/>
      <c r="B361" s="19"/>
      <c r="C361" s="19"/>
      <c r="D361" s="19"/>
      <c r="E361" s="18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14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20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9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</row>
    <row r="362" spans="1:68" ht="14.25" hidden="1" customHeight="1" outlineLevel="1">
      <c r="A362" s="12"/>
      <c r="B362" s="19"/>
      <c r="C362" s="19"/>
      <c r="D362" s="19"/>
      <c r="E362" s="18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14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20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9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</row>
    <row r="363" spans="1:68" ht="14.25" hidden="1" customHeight="1" outlineLevel="1">
      <c r="A363" s="12"/>
      <c r="B363" s="19"/>
      <c r="C363" s="19"/>
      <c r="D363" s="19"/>
      <c r="E363" s="18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14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20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9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</row>
    <row r="364" spans="1:68" ht="14.25" hidden="1" customHeight="1" outlineLevel="1">
      <c r="A364" s="12"/>
      <c r="B364" s="19"/>
      <c r="C364" s="19"/>
      <c r="D364" s="19"/>
      <c r="E364" s="18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14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20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9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</row>
    <row r="365" spans="1:68" ht="14.25" hidden="1" customHeight="1" outlineLevel="1">
      <c r="A365" s="12"/>
      <c r="B365" s="19"/>
      <c r="C365" s="19"/>
      <c r="D365" s="19"/>
      <c r="E365" s="18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14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20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9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</row>
    <row r="366" spans="1:68" ht="14.25" hidden="1" customHeight="1" outlineLevel="1">
      <c r="A366" s="12"/>
      <c r="B366" s="19"/>
      <c r="C366" s="19"/>
      <c r="D366" s="19"/>
      <c r="E366" s="18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14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20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9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</row>
    <row r="367" spans="1:68" ht="14.25" hidden="1" customHeight="1" outlineLevel="1">
      <c r="A367" s="12"/>
      <c r="B367" s="19"/>
      <c r="C367" s="19"/>
      <c r="D367" s="19"/>
      <c r="E367" s="18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14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20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9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</row>
    <row r="368" spans="1:68" ht="14.25" hidden="1" customHeight="1" outlineLevel="1">
      <c r="A368" s="12"/>
      <c r="B368" s="19"/>
      <c r="C368" s="19"/>
      <c r="D368" s="19"/>
      <c r="E368" s="18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14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20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9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</row>
    <row r="369" spans="1:68" ht="14.25" hidden="1" customHeight="1" outlineLevel="1">
      <c r="A369" s="12"/>
      <c r="B369" s="19"/>
      <c r="C369" s="19"/>
      <c r="D369" s="19"/>
      <c r="E369" s="18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14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20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9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</row>
    <row r="370" spans="1:68" ht="14.25" hidden="1" customHeight="1" outlineLevel="1">
      <c r="A370" s="12"/>
      <c r="B370" s="19"/>
      <c r="C370" s="19"/>
      <c r="D370" s="19"/>
      <c r="E370" s="18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14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20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9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</row>
    <row r="371" spans="1:68" ht="14.25" hidden="1" customHeight="1" outlineLevel="1">
      <c r="A371" s="12"/>
      <c r="B371" s="19"/>
      <c r="C371" s="19"/>
      <c r="D371" s="19"/>
      <c r="E371" s="18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14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20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9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</row>
    <row r="372" spans="1:68" ht="14.25" hidden="1" customHeight="1" outlineLevel="1">
      <c r="A372" s="12"/>
      <c r="B372" s="19"/>
      <c r="C372" s="19"/>
      <c r="D372" s="19"/>
      <c r="E372" s="18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14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20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9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</row>
    <row r="373" spans="1:68" ht="14.25" hidden="1" customHeight="1" outlineLevel="1">
      <c r="A373" s="12"/>
      <c r="B373" s="19"/>
      <c r="C373" s="19"/>
      <c r="D373" s="19"/>
      <c r="E373" s="18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14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20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9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</row>
    <row r="374" spans="1:68" ht="14.25" hidden="1" customHeight="1" outlineLevel="1">
      <c r="A374" s="12"/>
      <c r="B374" s="19"/>
      <c r="C374" s="19"/>
      <c r="D374" s="19"/>
      <c r="E374" s="18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14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20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9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</row>
    <row r="375" spans="1:68" ht="14.25" hidden="1" customHeight="1" outlineLevel="1">
      <c r="A375" s="12"/>
      <c r="B375" s="19"/>
      <c r="C375" s="19"/>
      <c r="D375" s="19"/>
      <c r="E375" s="18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14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20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9"/>
      <c r="BC375" s="18"/>
      <c r="BD375" s="18"/>
      <c r="BE375" s="18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</row>
    <row r="376" spans="1:68" ht="14.25" hidden="1" customHeight="1" outlineLevel="1">
      <c r="A376" s="12"/>
      <c r="B376" s="19"/>
      <c r="C376" s="19"/>
      <c r="D376" s="19"/>
      <c r="E376" s="18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14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20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9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</row>
    <row r="377" spans="1:68" ht="14.25" hidden="1" customHeight="1" outlineLevel="1">
      <c r="A377" s="12"/>
      <c r="B377" s="19"/>
      <c r="C377" s="19"/>
      <c r="D377" s="19"/>
      <c r="E377" s="18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14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20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9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</row>
    <row r="378" spans="1:68" ht="14.25" hidden="1" customHeight="1" outlineLevel="1">
      <c r="A378" s="12"/>
      <c r="B378" s="19"/>
      <c r="C378" s="19"/>
      <c r="D378" s="19"/>
      <c r="E378" s="18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14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20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9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</row>
    <row r="379" spans="1:68" ht="14.25" hidden="1" customHeight="1" outlineLevel="1">
      <c r="A379" s="12"/>
      <c r="B379" s="19"/>
      <c r="C379" s="19"/>
      <c r="D379" s="19"/>
      <c r="E379" s="18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14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20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9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</row>
    <row r="380" spans="1:68" ht="14.25" hidden="1" customHeight="1" outlineLevel="1">
      <c r="A380" s="12"/>
      <c r="B380" s="19"/>
      <c r="C380" s="19"/>
      <c r="D380" s="19"/>
      <c r="E380" s="18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14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20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9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</row>
    <row r="381" spans="1:68" ht="14.25" hidden="1" customHeight="1" outlineLevel="1">
      <c r="A381" s="12"/>
      <c r="B381" s="19"/>
      <c r="C381" s="19"/>
      <c r="D381" s="19"/>
      <c r="E381" s="18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14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20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9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</row>
    <row r="382" spans="1:68" ht="14.25" hidden="1" customHeight="1" outlineLevel="1">
      <c r="A382" s="12"/>
      <c r="B382" s="19"/>
      <c r="C382" s="19"/>
      <c r="D382" s="19"/>
      <c r="E382" s="18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14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20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9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</row>
    <row r="383" spans="1:68" ht="14.25" hidden="1" customHeight="1" outlineLevel="1">
      <c r="A383" s="12"/>
      <c r="B383" s="19"/>
      <c r="C383" s="19"/>
      <c r="D383" s="19"/>
      <c r="E383" s="18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14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20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9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</row>
    <row r="384" spans="1:68" ht="14.25" hidden="1" customHeight="1" outlineLevel="1">
      <c r="A384" s="12"/>
      <c r="B384" s="19"/>
      <c r="C384" s="19"/>
      <c r="D384" s="19"/>
      <c r="E384" s="18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14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20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9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</row>
    <row r="385" spans="1:68" ht="14.25" hidden="1" customHeight="1" outlineLevel="1">
      <c r="A385" s="12"/>
      <c r="B385" s="19"/>
      <c r="C385" s="19"/>
      <c r="D385" s="19"/>
      <c r="E385" s="18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14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20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9"/>
      <c r="BC385" s="18"/>
      <c r="BD385" s="18"/>
      <c r="BE385" s="18"/>
      <c r="BF385" s="18"/>
      <c r="BG385" s="18"/>
      <c r="BH385" s="18"/>
      <c r="BI385" s="18"/>
      <c r="BJ385" s="18"/>
      <c r="BK385" s="18"/>
      <c r="BL385" s="18"/>
      <c r="BM385" s="18"/>
      <c r="BN385" s="18"/>
      <c r="BO385" s="18"/>
      <c r="BP385" s="18"/>
    </row>
    <row r="386" spans="1:68" ht="14.25" hidden="1" customHeight="1" outlineLevel="1">
      <c r="A386" s="12"/>
      <c r="B386" s="19"/>
      <c r="C386" s="19"/>
      <c r="D386" s="19"/>
      <c r="E386" s="18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14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20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9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</row>
    <row r="387" spans="1:68" ht="14.25" hidden="1" customHeight="1" outlineLevel="1">
      <c r="A387" s="12"/>
      <c r="B387" s="19"/>
      <c r="C387" s="19"/>
      <c r="D387" s="19"/>
      <c r="E387" s="18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14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20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9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</row>
    <row r="388" spans="1:68" ht="14.25" hidden="1" customHeight="1" outlineLevel="1">
      <c r="A388" s="12"/>
      <c r="B388" s="19"/>
      <c r="C388" s="19"/>
      <c r="D388" s="19"/>
      <c r="E388" s="18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14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20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9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</row>
    <row r="389" spans="1:68" ht="14.25" hidden="1" customHeight="1" outlineLevel="1">
      <c r="A389" s="12"/>
      <c r="B389" s="19"/>
      <c r="C389" s="19"/>
      <c r="D389" s="19"/>
      <c r="E389" s="18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14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20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9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</row>
    <row r="390" spans="1:68" ht="14.25" hidden="1" customHeight="1" outlineLevel="1">
      <c r="A390" s="12"/>
      <c r="B390" s="19"/>
      <c r="C390" s="19"/>
      <c r="D390" s="19"/>
      <c r="E390" s="18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14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20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9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</row>
    <row r="391" spans="1:68" ht="14.25" hidden="1" customHeight="1" outlineLevel="1">
      <c r="A391" s="12"/>
      <c r="B391" s="19"/>
      <c r="C391" s="19"/>
      <c r="D391" s="19"/>
      <c r="E391" s="18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14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20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9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</row>
    <row r="392" spans="1:68" ht="14.25" hidden="1" customHeight="1" outlineLevel="1">
      <c r="A392" s="12"/>
      <c r="B392" s="19"/>
      <c r="C392" s="19"/>
      <c r="D392" s="19"/>
      <c r="E392" s="18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14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20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9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</row>
    <row r="393" spans="1:68" ht="14.25" hidden="1" customHeight="1" outlineLevel="1">
      <c r="A393" s="12"/>
      <c r="B393" s="19"/>
      <c r="C393" s="19"/>
      <c r="D393" s="19"/>
      <c r="E393" s="18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14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20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9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</row>
    <row r="394" spans="1:68" ht="14.25" hidden="1" customHeight="1" outlineLevel="1">
      <c r="A394" s="12"/>
      <c r="B394" s="19"/>
      <c r="C394" s="19"/>
      <c r="D394" s="19"/>
      <c r="E394" s="18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14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20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9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</row>
    <row r="395" spans="1:68" ht="14.25" hidden="1" customHeight="1" outlineLevel="1">
      <c r="A395" s="12"/>
      <c r="B395" s="19"/>
      <c r="C395" s="19"/>
      <c r="D395" s="19"/>
      <c r="E395" s="18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14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20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9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</row>
    <row r="396" spans="1:68" ht="14.25" hidden="1" customHeight="1" outlineLevel="1">
      <c r="A396" s="12"/>
      <c r="B396" s="19"/>
      <c r="C396" s="19"/>
      <c r="D396" s="19"/>
      <c r="E396" s="18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14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20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9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</row>
    <row r="397" spans="1:68" ht="14.25" hidden="1" customHeight="1" outlineLevel="1">
      <c r="A397" s="12"/>
      <c r="B397" s="19"/>
      <c r="C397" s="19"/>
      <c r="D397" s="19"/>
      <c r="E397" s="18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14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20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9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</row>
    <row r="398" spans="1:68" ht="14.25" hidden="1" customHeight="1" outlineLevel="1">
      <c r="A398" s="12"/>
      <c r="B398" s="19"/>
      <c r="C398" s="19"/>
      <c r="D398" s="19"/>
      <c r="E398" s="18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14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20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9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</row>
    <row r="399" spans="1:68" ht="14.25" hidden="1" customHeight="1" outlineLevel="1">
      <c r="A399" s="12"/>
      <c r="B399" s="19"/>
      <c r="C399" s="19"/>
      <c r="D399" s="19"/>
      <c r="E399" s="18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14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20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9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</row>
    <row r="400" spans="1:68" ht="14.25" hidden="1" customHeight="1" outlineLevel="1">
      <c r="A400" s="12"/>
      <c r="B400" s="19"/>
      <c r="C400" s="19"/>
      <c r="D400" s="19"/>
      <c r="E400" s="18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14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20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9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</row>
    <row r="401" spans="1:68" ht="14.25" hidden="1" customHeight="1" outlineLevel="1">
      <c r="A401" s="12"/>
      <c r="B401" s="19"/>
      <c r="C401" s="19"/>
      <c r="D401" s="19"/>
      <c r="E401" s="18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14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20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9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</row>
    <row r="402" spans="1:68" ht="14.25" hidden="1" customHeight="1" outlineLevel="1">
      <c r="A402" s="12"/>
      <c r="B402" s="19"/>
      <c r="C402" s="19"/>
      <c r="D402" s="19"/>
      <c r="E402" s="18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14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20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9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</row>
    <row r="403" spans="1:68" ht="14.25" hidden="1" customHeight="1" outlineLevel="1">
      <c r="A403" s="12"/>
      <c r="B403" s="19"/>
      <c r="C403" s="19"/>
      <c r="D403" s="19"/>
      <c r="E403" s="18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14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20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9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</row>
    <row r="404" spans="1:68" ht="14.25" hidden="1" customHeight="1" outlineLevel="1">
      <c r="A404" s="12"/>
      <c r="B404" s="19"/>
      <c r="C404" s="19"/>
      <c r="D404" s="19"/>
      <c r="E404" s="18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14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20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9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</row>
    <row r="405" spans="1:68" ht="14.25" hidden="1" customHeight="1" outlineLevel="1">
      <c r="A405" s="12"/>
      <c r="B405" s="19"/>
      <c r="C405" s="19"/>
      <c r="D405" s="19"/>
      <c r="E405" s="18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14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20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9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</row>
    <row r="406" spans="1:68" ht="14.25" hidden="1" customHeight="1" outlineLevel="1">
      <c r="A406" s="12"/>
      <c r="B406" s="19"/>
      <c r="C406" s="19"/>
      <c r="D406" s="19"/>
      <c r="E406" s="18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14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20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9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</row>
    <row r="407" spans="1:68" ht="14.25" hidden="1" customHeight="1" outlineLevel="1">
      <c r="A407" s="12"/>
      <c r="B407" s="19"/>
      <c r="C407" s="19"/>
      <c r="D407" s="19"/>
      <c r="E407" s="18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14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20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9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</row>
    <row r="408" spans="1:68" ht="14.25" hidden="1" customHeight="1" outlineLevel="1">
      <c r="A408" s="12"/>
      <c r="B408" s="19"/>
      <c r="C408" s="19"/>
      <c r="D408" s="19"/>
      <c r="E408" s="18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14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20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9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</row>
    <row r="409" spans="1:68" ht="14.25" hidden="1" customHeight="1" outlineLevel="1">
      <c r="A409" s="12"/>
      <c r="B409" s="19"/>
      <c r="C409" s="19"/>
      <c r="D409" s="19"/>
      <c r="E409" s="18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14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20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9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</row>
    <row r="410" spans="1:68" ht="14.25" hidden="1" customHeight="1" outlineLevel="1">
      <c r="A410" s="12"/>
      <c r="B410" s="19"/>
      <c r="C410" s="19"/>
      <c r="D410" s="19"/>
      <c r="E410" s="18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14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20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9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</row>
    <row r="411" spans="1:68" ht="14.25" hidden="1" customHeight="1" outlineLevel="1">
      <c r="A411" s="12"/>
      <c r="B411" s="19"/>
      <c r="C411" s="19"/>
      <c r="D411" s="19"/>
      <c r="E411" s="18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14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20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9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</row>
    <row r="412" spans="1:68" ht="14.25" hidden="1" customHeight="1" outlineLevel="1">
      <c r="A412" s="12"/>
      <c r="B412" s="19"/>
      <c r="C412" s="19"/>
      <c r="D412" s="19"/>
      <c r="E412" s="18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14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20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9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</row>
    <row r="413" spans="1:68" ht="14.25" hidden="1" customHeight="1" outlineLevel="1">
      <c r="A413" s="12"/>
      <c r="B413" s="19"/>
      <c r="C413" s="19"/>
      <c r="D413" s="19"/>
      <c r="E413" s="18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14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20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9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</row>
    <row r="414" spans="1:68" ht="14.25" hidden="1" customHeight="1" outlineLevel="1">
      <c r="A414" s="12"/>
      <c r="B414" s="19"/>
      <c r="C414" s="19"/>
      <c r="D414" s="19"/>
      <c r="E414" s="18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14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20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9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</row>
    <row r="415" spans="1:68" ht="14.25" hidden="1" customHeight="1" outlineLevel="1">
      <c r="A415" s="12"/>
      <c r="B415" s="19"/>
      <c r="C415" s="19"/>
      <c r="D415" s="19"/>
      <c r="E415" s="18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14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20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9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</row>
    <row r="416" spans="1:68" ht="14.25" hidden="1" customHeight="1" outlineLevel="1">
      <c r="A416" s="12"/>
      <c r="B416" s="19"/>
      <c r="C416" s="19"/>
      <c r="D416" s="19"/>
      <c r="E416" s="18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14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20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9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</row>
    <row r="417" spans="1:68" ht="14.25" hidden="1" customHeight="1" outlineLevel="1">
      <c r="A417" s="12"/>
      <c r="B417" s="19"/>
      <c r="C417" s="19"/>
      <c r="D417" s="19"/>
      <c r="E417" s="18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14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20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9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</row>
    <row r="418" spans="1:68" ht="14.25" hidden="1" customHeight="1" outlineLevel="1">
      <c r="A418" s="12"/>
      <c r="B418" s="19"/>
      <c r="C418" s="19"/>
      <c r="D418" s="19"/>
      <c r="E418" s="18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14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20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9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</row>
    <row r="419" spans="1:68" ht="14.25" hidden="1" customHeight="1" outlineLevel="1">
      <c r="A419" s="12"/>
      <c r="B419" s="19"/>
      <c r="C419" s="19"/>
      <c r="D419" s="19"/>
      <c r="E419" s="18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14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20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9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</row>
    <row r="420" spans="1:68" ht="14.25" hidden="1" customHeight="1" outlineLevel="1">
      <c r="A420" s="12"/>
      <c r="B420" s="19"/>
      <c r="C420" s="19"/>
      <c r="D420" s="19"/>
      <c r="E420" s="18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14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20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9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</row>
    <row r="421" spans="1:68" ht="14.25" hidden="1" customHeight="1" outlineLevel="1">
      <c r="A421" s="12"/>
      <c r="B421" s="19"/>
      <c r="C421" s="19"/>
      <c r="D421" s="19"/>
      <c r="E421" s="18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14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20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9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</row>
    <row r="422" spans="1:68" ht="14.25" hidden="1" customHeight="1" outlineLevel="1">
      <c r="A422" s="12"/>
      <c r="B422" s="19"/>
      <c r="C422" s="19"/>
      <c r="D422" s="19"/>
      <c r="E422" s="18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14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20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9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</row>
    <row r="423" spans="1:68" ht="14.25" hidden="1" customHeight="1" outlineLevel="1">
      <c r="A423" s="12"/>
      <c r="B423" s="19"/>
      <c r="C423" s="19"/>
      <c r="D423" s="19"/>
      <c r="E423" s="18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14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20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9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</row>
    <row r="424" spans="1:68" ht="14.25" hidden="1" customHeight="1" outlineLevel="1">
      <c r="A424" s="12"/>
      <c r="B424" s="19"/>
      <c r="C424" s="19"/>
      <c r="D424" s="19"/>
      <c r="E424" s="18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14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20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9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</row>
    <row r="425" spans="1:68" ht="14.25" hidden="1" customHeight="1" outlineLevel="1">
      <c r="A425" s="12"/>
      <c r="B425" s="19"/>
      <c r="C425" s="19"/>
      <c r="D425" s="19"/>
      <c r="E425" s="18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14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20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9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</row>
    <row r="426" spans="1:68" ht="14.25" hidden="1" customHeight="1" outlineLevel="1">
      <c r="A426" s="12"/>
      <c r="B426" s="19"/>
      <c r="C426" s="19"/>
      <c r="D426" s="19"/>
      <c r="E426" s="18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14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20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9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</row>
    <row r="427" spans="1:68" ht="14.25" hidden="1" customHeight="1" outlineLevel="1">
      <c r="A427" s="12"/>
      <c r="B427" s="19"/>
      <c r="C427" s="19"/>
      <c r="D427" s="19"/>
      <c r="E427" s="18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14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20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9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</row>
    <row r="428" spans="1:68" ht="14.25" hidden="1" customHeight="1" outlineLevel="1">
      <c r="A428" s="12"/>
      <c r="B428" s="19"/>
      <c r="C428" s="19"/>
      <c r="D428" s="19"/>
      <c r="E428" s="18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14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20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9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</row>
    <row r="429" spans="1:68" ht="14.25" hidden="1" customHeight="1" outlineLevel="1">
      <c r="A429" s="12"/>
      <c r="B429" s="19"/>
      <c r="C429" s="19"/>
      <c r="D429" s="19"/>
      <c r="E429" s="18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14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20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9"/>
      <c r="BC429" s="18"/>
      <c r="BD429" s="18"/>
      <c r="BE429" s="18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</row>
    <row r="430" spans="1:68" ht="14.25" hidden="1" customHeight="1" outlineLevel="1">
      <c r="A430" s="12"/>
      <c r="B430" s="19"/>
      <c r="C430" s="19"/>
      <c r="D430" s="19"/>
      <c r="E430" s="18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14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20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9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</row>
    <row r="431" spans="1:68" ht="14.25" hidden="1" customHeight="1" outlineLevel="1">
      <c r="A431" s="12"/>
      <c r="B431" s="19"/>
      <c r="C431" s="19"/>
      <c r="D431" s="19"/>
      <c r="E431" s="18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14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20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9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</row>
    <row r="432" spans="1:68" ht="14.25" hidden="1" customHeight="1" outlineLevel="1">
      <c r="A432" s="12"/>
      <c r="B432" s="19"/>
      <c r="C432" s="19"/>
      <c r="D432" s="19"/>
      <c r="E432" s="18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14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20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9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</row>
    <row r="433" spans="1:68" ht="14.25" hidden="1" customHeight="1" outlineLevel="1">
      <c r="A433" s="12"/>
      <c r="B433" s="19"/>
      <c r="C433" s="19"/>
      <c r="D433" s="19"/>
      <c r="E433" s="18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14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20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9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</row>
    <row r="434" spans="1:68" ht="14.25" hidden="1" customHeight="1" outlineLevel="1">
      <c r="A434" s="12"/>
      <c r="B434" s="19"/>
      <c r="C434" s="19"/>
      <c r="D434" s="19"/>
      <c r="E434" s="18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14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20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9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</row>
    <row r="435" spans="1:68" ht="14.25" hidden="1" customHeight="1" outlineLevel="1">
      <c r="A435" s="12"/>
      <c r="B435" s="19"/>
      <c r="C435" s="19"/>
      <c r="D435" s="19"/>
      <c r="E435" s="18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14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20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9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</row>
    <row r="436" spans="1:68" ht="14.25" hidden="1" customHeight="1" outlineLevel="1">
      <c r="A436" s="12"/>
      <c r="B436" s="19"/>
      <c r="C436" s="19"/>
      <c r="D436" s="19"/>
      <c r="E436" s="18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14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20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9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</row>
    <row r="437" spans="1:68" ht="14.25" hidden="1" customHeight="1" outlineLevel="1">
      <c r="A437" s="12"/>
      <c r="B437" s="19"/>
      <c r="C437" s="19"/>
      <c r="D437" s="19"/>
      <c r="E437" s="18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14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20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9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</row>
    <row r="438" spans="1:68" ht="14.25" hidden="1" customHeight="1" outlineLevel="1">
      <c r="A438" s="12"/>
      <c r="B438" s="19"/>
      <c r="C438" s="19"/>
      <c r="D438" s="19"/>
      <c r="E438" s="18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14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20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9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</row>
    <row r="439" spans="1:68" ht="14.25" hidden="1" customHeight="1" outlineLevel="1">
      <c r="A439" s="12"/>
      <c r="B439" s="19"/>
      <c r="C439" s="19"/>
      <c r="D439" s="19"/>
      <c r="E439" s="18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14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20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9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</row>
    <row r="440" spans="1:68" ht="14.25" hidden="1" customHeight="1" outlineLevel="1">
      <c r="A440" s="12"/>
      <c r="B440" s="19"/>
      <c r="C440" s="19"/>
      <c r="D440" s="19"/>
      <c r="E440" s="18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14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20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9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</row>
    <row r="441" spans="1:68" ht="14.25" hidden="1" customHeight="1" outlineLevel="1">
      <c r="A441" s="12"/>
      <c r="B441" s="19"/>
      <c r="C441" s="19"/>
      <c r="D441" s="19"/>
      <c r="E441" s="18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14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20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9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</row>
    <row r="442" spans="1:68" ht="14.25" hidden="1" customHeight="1" outlineLevel="1">
      <c r="A442" s="12"/>
      <c r="B442" s="19"/>
      <c r="C442" s="19"/>
      <c r="D442" s="19"/>
      <c r="E442" s="18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14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20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9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</row>
    <row r="443" spans="1:68" ht="14.25" hidden="1" customHeight="1" outlineLevel="1">
      <c r="A443" s="12"/>
      <c r="B443" s="19"/>
      <c r="C443" s="19"/>
      <c r="D443" s="19"/>
      <c r="E443" s="18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14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20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9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</row>
    <row r="444" spans="1:68" ht="14.25" hidden="1" customHeight="1" outlineLevel="1">
      <c r="A444" s="12"/>
      <c r="B444" s="19"/>
      <c r="C444" s="19"/>
      <c r="D444" s="19"/>
      <c r="E444" s="18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14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20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9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</row>
    <row r="445" spans="1:68" ht="14.25" hidden="1" customHeight="1" outlineLevel="1">
      <c r="A445" s="12"/>
      <c r="B445" s="19"/>
      <c r="C445" s="19"/>
      <c r="D445" s="19"/>
      <c r="E445" s="18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14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20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9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</row>
    <row r="446" spans="1:68" ht="14.25" hidden="1" customHeight="1" outlineLevel="1">
      <c r="A446" s="12"/>
      <c r="B446" s="19"/>
      <c r="C446" s="19"/>
      <c r="D446" s="19"/>
      <c r="E446" s="18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14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20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9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</row>
    <row r="447" spans="1:68" ht="14.25" hidden="1" customHeight="1" outlineLevel="1">
      <c r="A447" s="12"/>
      <c r="B447" s="19"/>
      <c r="C447" s="19"/>
      <c r="D447" s="19"/>
      <c r="E447" s="18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14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20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9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</row>
    <row r="448" spans="1:68" ht="14.25" hidden="1" customHeight="1" outlineLevel="1">
      <c r="A448" s="12"/>
      <c r="B448" s="19"/>
      <c r="C448" s="19"/>
      <c r="D448" s="19"/>
      <c r="E448" s="18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14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20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9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</row>
    <row r="449" spans="1:68" ht="14.25" hidden="1" customHeight="1" outlineLevel="1">
      <c r="A449" s="12"/>
      <c r="B449" s="19"/>
      <c r="C449" s="19"/>
      <c r="D449" s="19"/>
      <c r="E449" s="18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14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20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9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</row>
    <row r="450" spans="1:68" ht="14.25" hidden="1" customHeight="1" outlineLevel="1">
      <c r="A450" s="12"/>
      <c r="B450" s="19"/>
      <c r="C450" s="19"/>
      <c r="D450" s="19"/>
      <c r="E450" s="18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14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20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9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</row>
    <row r="451" spans="1:68" ht="14.25" hidden="1" customHeight="1" outlineLevel="1">
      <c r="A451" s="12"/>
      <c r="B451" s="19"/>
      <c r="C451" s="19"/>
      <c r="D451" s="19"/>
      <c r="E451" s="18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14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20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9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</row>
    <row r="452" spans="1:68" ht="14.25" hidden="1" customHeight="1" outlineLevel="1">
      <c r="A452" s="12"/>
      <c r="B452" s="19"/>
      <c r="C452" s="19"/>
      <c r="D452" s="19"/>
      <c r="E452" s="18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14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20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9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</row>
    <row r="453" spans="1:68" ht="14.25" hidden="1" customHeight="1" outlineLevel="1">
      <c r="A453" s="12"/>
      <c r="B453" s="19"/>
      <c r="C453" s="19"/>
      <c r="D453" s="19"/>
      <c r="E453" s="18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14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20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9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</row>
    <row r="454" spans="1:68" ht="14.25" hidden="1" customHeight="1" outlineLevel="1">
      <c r="A454" s="12"/>
      <c r="B454" s="19"/>
      <c r="C454" s="19"/>
      <c r="D454" s="19"/>
      <c r="E454" s="18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14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20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9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</row>
    <row r="455" spans="1:68" ht="14.25" hidden="1" customHeight="1" outlineLevel="1">
      <c r="A455" s="12"/>
      <c r="B455" s="19"/>
      <c r="C455" s="19"/>
      <c r="D455" s="19"/>
      <c r="E455" s="18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14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20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9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</row>
    <row r="456" spans="1:68" ht="14.25" hidden="1" customHeight="1" outlineLevel="1">
      <c r="A456" s="12"/>
      <c r="B456" s="19"/>
      <c r="C456" s="19"/>
      <c r="D456" s="19"/>
      <c r="E456" s="18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14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20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9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</row>
    <row r="457" spans="1:68" ht="14.25" hidden="1" customHeight="1" outlineLevel="1">
      <c r="A457" s="12"/>
      <c r="B457" s="19"/>
      <c r="C457" s="19"/>
      <c r="D457" s="19"/>
      <c r="E457" s="18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14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20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9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</row>
    <row r="458" spans="1:68" ht="14.25" hidden="1" customHeight="1" outlineLevel="1">
      <c r="A458" s="12"/>
      <c r="B458" s="19"/>
      <c r="C458" s="19"/>
      <c r="D458" s="19"/>
      <c r="E458" s="18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14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20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9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</row>
    <row r="459" spans="1:68" ht="14.25" hidden="1" customHeight="1" outlineLevel="1">
      <c r="A459" s="12"/>
      <c r="B459" s="19"/>
      <c r="C459" s="19"/>
      <c r="D459" s="19"/>
      <c r="E459" s="18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14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20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9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</row>
    <row r="460" spans="1:68" ht="14.25" hidden="1" customHeight="1" outlineLevel="1">
      <c r="A460" s="12"/>
      <c r="B460" s="19"/>
      <c r="C460" s="19"/>
      <c r="D460" s="19"/>
      <c r="E460" s="18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14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20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9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</row>
    <row r="461" spans="1:68" ht="14.25" hidden="1" customHeight="1" outlineLevel="1">
      <c r="A461" s="12"/>
      <c r="B461" s="19"/>
      <c r="C461" s="19"/>
      <c r="D461" s="19"/>
      <c r="E461" s="18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14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20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9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</row>
    <row r="462" spans="1:68" ht="14.25" hidden="1" customHeight="1" outlineLevel="1">
      <c r="A462" s="12"/>
      <c r="B462" s="19"/>
      <c r="C462" s="19"/>
      <c r="D462" s="19"/>
      <c r="E462" s="18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14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20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9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</row>
    <row r="463" spans="1:68" ht="14.25" hidden="1" customHeight="1" outlineLevel="1">
      <c r="A463" s="12"/>
      <c r="B463" s="19"/>
      <c r="C463" s="19"/>
      <c r="D463" s="19"/>
      <c r="E463" s="18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14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20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9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</row>
    <row r="464" spans="1:68" ht="14.25" hidden="1" customHeight="1" outlineLevel="1">
      <c r="A464" s="12"/>
      <c r="B464" s="19"/>
      <c r="C464" s="19"/>
      <c r="D464" s="19"/>
      <c r="E464" s="18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14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20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9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</row>
    <row r="465" spans="1:68" ht="14.25" hidden="1" customHeight="1" outlineLevel="1">
      <c r="A465" s="12"/>
      <c r="B465" s="19"/>
      <c r="C465" s="19"/>
      <c r="D465" s="19"/>
      <c r="E465" s="18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14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20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9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</row>
    <row r="466" spans="1:68" ht="14.25" hidden="1" customHeight="1" outlineLevel="1">
      <c r="A466" s="12"/>
      <c r="B466" s="19"/>
      <c r="C466" s="19"/>
      <c r="D466" s="19"/>
      <c r="E466" s="18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14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20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9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</row>
    <row r="467" spans="1:68" ht="14.25" hidden="1" customHeight="1" outlineLevel="1">
      <c r="A467" s="12"/>
      <c r="B467" s="19"/>
      <c r="C467" s="19"/>
      <c r="D467" s="19"/>
      <c r="E467" s="18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14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20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9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</row>
    <row r="468" spans="1:68" ht="14.25" hidden="1" customHeight="1" outlineLevel="1">
      <c r="A468" s="12"/>
      <c r="B468" s="19"/>
      <c r="C468" s="19"/>
      <c r="D468" s="19"/>
      <c r="E468" s="18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14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20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9"/>
      <c r="BC468" s="18"/>
      <c r="BD468" s="18"/>
      <c r="BE468" s="18"/>
      <c r="BF468" s="18"/>
      <c r="BG468" s="18"/>
      <c r="BH468" s="18"/>
      <c r="BI468" s="18"/>
      <c r="BJ468" s="18"/>
      <c r="BK468" s="18"/>
      <c r="BL468" s="18"/>
      <c r="BM468" s="18"/>
      <c r="BN468" s="18"/>
      <c r="BO468" s="18"/>
      <c r="BP468" s="18"/>
    </row>
    <row r="469" spans="1:68" ht="14.25" hidden="1" customHeight="1" outlineLevel="1">
      <c r="A469" s="12"/>
      <c r="B469" s="19"/>
      <c r="C469" s="19"/>
      <c r="D469" s="19"/>
      <c r="E469" s="18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14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20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9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</row>
    <row r="470" spans="1:68" ht="14.25" hidden="1" customHeight="1" outlineLevel="1">
      <c r="A470" s="12"/>
      <c r="B470" s="19"/>
      <c r="C470" s="19"/>
      <c r="D470" s="19"/>
      <c r="E470" s="18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14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20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9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</row>
    <row r="471" spans="1:68" ht="14.25" hidden="1" customHeight="1" outlineLevel="1">
      <c r="A471" s="12"/>
      <c r="B471" s="19"/>
      <c r="C471" s="19"/>
      <c r="D471" s="19"/>
      <c r="E471" s="18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14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20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9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</row>
    <row r="472" spans="1:68" ht="14.25" hidden="1" customHeight="1" outlineLevel="1">
      <c r="A472" s="12"/>
      <c r="B472" s="19"/>
      <c r="C472" s="19"/>
      <c r="D472" s="19"/>
      <c r="E472" s="18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14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20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9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</row>
    <row r="473" spans="1:68" ht="14.25" hidden="1" customHeight="1" outlineLevel="1">
      <c r="A473" s="12"/>
      <c r="B473" s="19"/>
      <c r="C473" s="19"/>
      <c r="D473" s="19"/>
      <c r="E473" s="18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14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20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9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</row>
    <row r="474" spans="1:68" ht="14.25" hidden="1" customHeight="1" outlineLevel="1">
      <c r="A474" s="12"/>
      <c r="B474" s="19"/>
      <c r="C474" s="19"/>
      <c r="D474" s="19"/>
      <c r="E474" s="18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14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20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9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</row>
    <row r="475" spans="1:68" ht="14.25" hidden="1" customHeight="1" outlineLevel="1">
      <c r="A475" s="12"/>
      <c r="B475" s="19"/>
      <c r="C475" s="19"/>
      <c r="D475" s="19"/>
      <c r="E475" s="18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14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20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9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</row>
    <row r="476" spans="1:68" ht="14.25" hidden="1" customHeight="1" outlineLevel="1">
      <c r="A476" s="12"/>
      <c r="B476" s="19"/>
      <c r="C476" s="19"/>
      <c r="D476" s="19"/>
      <c r="E476" s="18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14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20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9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</row>
    <row r="477" spans="1:68" ht="14.25" hidden="1" customHeight="1" outlineLevel="1">
      <c r="A477" s="12"/>
      <c r="B477" s="19"/>
      <c r="C477" s="19"/>
      <c r="D477" s="19"/>
      <c r="E477" s="18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14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20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9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</row>
    <row r="478" spans="1:68" ht="14.25" hidden="1" customHeight="1" outlineLevel="1">
      <c r="A478" s="12"/>
      <c r="B478" s="19"/>
      <c r="C478" s="19"/>
      <c r="D478" s="19"/>
      <c r="E478" s="18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14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20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9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</row>
    <row r="479" spans="1:68" ht="14.25" hidden="1" customHeight="1" outlineLevel="1">
      <c r="A479" s="12"/>
      <c r="B479" s="19"/>
      <c r="C479" s="19"/>
      <c r="D479" s="19"/>
      <c r="E479" s="18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14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20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9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</row>
    <row r="480" spans="1:68" ht="14.25" hidden="1" customHeight="1" outlineLevel="1">
      <c r="A480" s="12"/>
      <c r="B480" s="19"/>
      <c r="C480" s="19"/>
      <c r="D480" s="19"/>
      <c r="E480" s="18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14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20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9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</row>
    <row r="481" spans="1:68" ht="14.25" hidden="1" customHeight="1" outlineLevel="1">
      <c r="A481" s="12"/>
      <c r="B481" s="19"/>
      <c r="C481" s="19"/>
      <c r="D481" s="19"/>
      <c r="E481" s="18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14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20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9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</row>
    <row r="482" spans="1:68" ht="14.25" hidden="1" customHeight="1" outlineLevel="1">
      <c r="A482" s="12"/>
      <c r="B482" s="19"/>
      <c r="C482" s="19"/>
      <c r="D482" s="19"/>
      <c r="E482" s="18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14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20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9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</row>
    <row r="483" spans="1:68" ht="14.25" hidden="1" customHeight="1" outlineLevel="1">
      <c r="A483" s="12"/>
      <c r="B483" s="19"/>
      <c r="C483" s="19"/>
      <c r="D483" s="19"/>
      <c r="E483" s="18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14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20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9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</row>
    <row r="484" spans="1:68" ht="14.25" hidden="1" customHeight="1" outlineLevel="1">
      <c r="A484" s="12"/>
      <c r="B484" s="19"/>
      <c r="C484" s="19"/>
      <c r="D484" s="19"/>
      <c r="E484" s="18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14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20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9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</row>
    <row r="485" spans="1:68" ht="14.25" hidden="1" customHeight="1" outlineLevel="1">
      <c r="A485" s="12"/>
      <c r="B485" s="19"/>
      <c r="C485" s="19"/>
      <c r="D485" s="19"/>
      <c r="E485" s="18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14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20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9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</row>
    <row r="486" spans="1:68" ht="14.25" hidden="1" customHeight="1" outlineLevel="1">
      <c r="A486" s="12"/>
      <c r="B486" s="19"/>
      <c r="C486" s="19"/>
      <c r="D486" s="19"/>
      <c r="E486" s="18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14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20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9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</row>
    <row r="487" spans="1:68" ht="14.25" hidden="1" customHeight="1" outlineLevel="1">
      <c r="A487" s="12"/>
      <c r="B487" s="19"/>
      <c r="C487" s="19"/>
      <c r="D487" s="19"/>
      <c r="E487" s="18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14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20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9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</row>
    <row r="488" spans="1:68" ht="14.25" hidden="1" customHeight="1" outlineLevel="1">
      <c r="A488" s="12"/>
      <c r="B488" s="19"/>
      <c r="C488" s="19"/>
      <c r="D488" s="19"/>
      <c r="E488" s="18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14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20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9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</row>
    <row r="489" spans="1:68" ht="14.25" hidden="1" customHeight="1" outlineLevel="1">
      <c r="A489" s="12"/>
      <c r="B489" s="19"/>
      <c r="C489" s="19"/>
      <c r="D489" s="19"/>
      <c r="E489" s="18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14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20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9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</row>
    <row r="490" spans="1:68" ht="14.25" hidden="1" customHeight="1" outlineLevel="1">
      <c r="A490" s="12"/>
      <c r="B490" s="19"/>
      <c r="C490" s="19"/>
      <c r="D490" s="19"/>
      <c r="E490" s="18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14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20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9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</row>
    <row r="491" spans="1:68" ht="14.25" hidden="1" customHeight="1" outlineLevel="1">
      <c r="A491" s="12"/>
      <c r="B491" s="19"/>
      <c r="C491" s="19"/>
      <c r="D491" s="19"/>
      <c r="E491" s="18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14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20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9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</row>
    <row r="492" spans="1:68" ht="14.25" hidden="1" customHeight="1" outlineLevel="1">
      <c r="A492" s="12"/>
      <c r="B492" s="19"/>
      <c r="C492" s="19"/>
      <c r="D492" s="19"/>
      <c r="E492" s="18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14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20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9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</row>
    <row r="493" spans="1:68" ht="14.25" hidden="1" customHeight="1" outlineLevel="1">
      <c r="A493" s="12"/>
      <c r="B493" s="19"/>
      <c r="C493" s="19"/>
      <c r="D493" s="19"/>
      <c r="E493" s="18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14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20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9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</row>
    <row r="494" spans="1:68" ht="14.25" hidden="1" customHeight="1" outlineLevel="1">
      <c r="A494" s="12"/>
      <c r="B494" s="19"/>
      <c r="C494" s="19"/>
      <c r="D494" s="19"/>
      <c r="E494" s="18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14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20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9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</row>
    <row r="495" spans="1:68" ht="14.25" hidden="1" customHeight="1" outlineLevel="1">
      <c r="A495" s="12"/>
      <c r="B495" s="19"/>
      <c r="C495" s="19"/>
      <c r="D495" s="19"/>
      <c r="E495" s="18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14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20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9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</row>
    <row r="496" spans="1:68" ht="14.25" hidden="1" customHeight="1" outlineLevel="1">
      <c r="A496" s="12"/>
      <c r="B496" s="19"/>
      <c r="C496" s="19"/>
      <c r="D496" s="19"/>
      <c r="E496" s="18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14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20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9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</row>
    <row r="497" spans="1:68" ht="14.25" hidden="1" customHeight="1" outlineLevel="1">
      <c r="A497" s="12"/>
      <c r="B497" s="19"/>
      <c r="C497" s="19"/>
      <c r="D497" s="19"/>
      <c r="E497" s="18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14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20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9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</row>
    <row r="498" spans="1:68" ht="14.25" hidden="1" customHeight="1" outlineLevel="1">
      <c r="A498" s="12"/>
      <c r="B498" s="19"/>
      <c r="C498" s="19"/>
      <c r="D498" s="19"/>
      <c r="E498" s="18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14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20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9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</row>
    <row r="499" spans="1:68" ht="14.25" hidden="1" customHeight="1" outlineLevel="1">
      <c r="A499" s="12"/>
      <c r="B499" s="19"/>
      <c r="C499" s="19"/>
      <c r="D499" s="19"/>
      <c r="E499" s="18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14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20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9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</row>
    <row r="500" spans="1:68" ht="14.25" hidden="1" customHeight="1" outlineLevel="1">
      <c r="A500" s="12"/>
      <c r="B500" s="19"/>
      <c r="C500" s="19"/>
      <c r="D500" s="19"/>
      <c r="E500" s="18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14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20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9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</row>
    <row r="501" spans="1:68" ht="14.25" hidden="1" customHeight="1" outlineLevel="1">
      <c r="A501" s="12"/>
      <c r="B501" s="19"/>
      <c r="C501" s="19"/>
      <c r="D501" s="19"/>
      <c r="E501" s="18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14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20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9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</row>
    <row r="502" spans="1:68" ht="14.25" hidden="1" customHeight="1" outlineLevel="1">
      <c r="A502" s="12"/>
      <c r="B502" s="19"/>
      <c r="C502" s="19"/>
      <c r="D502" s="19"/>
      <c r="E502" s="18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14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20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9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</row>
    <row r="503" spans="1:68" ht="14.25" hidden="1" customHeight="1" outlineLevel="1">
      <c r="A503" s="12"/>
      <c r="B503" s="19"/>
      <c r="C503" s="19"/>
      <c r="D503" s="19"/>
      <c r="E503" s="18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14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20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  <c r="BB503" s="19"/>
      <c r="BC503" s="18"/>
      <c r="BD503" s="18"/>
      <c r="BE503" s="18"/>
      <c r="BF503" s="18"/>
      <c r="BG503" s="18"/>
      <c r="BH503" s="18"/>
      <c r="BI503" s="18"/>
      <c r="BJ503" s="18"/>
      <c r="BK503" s="18"/>
      <c r="BL503" s="18"/>
      <c r="BM503" s="18"/>
      <c r="BN503" s="18"/>
      <c r="BO503" s="18"/>
      <c r="BP503" s="18"/>
    </row>
    <row r="504" spans="1:68" ht="14.25" hidden="1" customHeight="1" outlineLevel="1">
      <c r="A504" s="12"/>
      <c r="B504" s="19"/>
      <c r="C504" s="19"/>
      <c r="D504" s="19"/>
      <c r="E504" s="18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14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20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9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</row>
    <row r="505" spans="1:68" ht="14.25" hidden="1" customHeight="1" outlineLevel="1">
      <c r="A505" s="12"/>
      <c r="B505" s="19"/>
      <c r="C505" s="19"/>
      <c r="D505" s="19"/>
      <c r="E505" s="18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14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20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9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</row>
    <row r="506" spans="1:68" ht="14.25" hidden="1" customHeight="1" outlineLevel="1">
      <c r="A506" s="12"/>
      <c r="B506" s="19"/>
      <c r="C506" s="19"/>
      <c r="D506" s="19"/>
      <c r="E506" s="18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14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20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9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</row>
    <row r="507" spans="1:68" ht="14.25" hidden="1" customHeight="1" outlineLevel="1">
      <c r="A507" s="12"/>
      <c r="B507" s="19"/>
      <c r="C507" s="19"/>
      <c r="D507" s="19"/>
      <c r="E507" s="18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14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20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9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</row>
    <row r="508" spans="1:68" ht="14.25" hidden="1" customHeight="1" outlineLevel="1">
      <c r="A508" s="12"/>
      <c r="B508" s="19"/>
      <c r="C508" s="19"/>
      <c r="D508" s="19"/>
      <c r="E508" s="18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14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20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9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</row>
    <row r="509" spans="1:68" ht="14.25" hidden="1" customHeight="1" outlineLevel="1">
      <c r="A509" s="12"/>
      <c r="B509" s="19"/>
      <c r="C509" s="19"/>
      <c r="D509" s="19"/>
      <c r="E509" s="18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14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20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9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</row>
    <row r="510" spans="1:68" ht="14.25" hidden="1" customHeight="1" outlineLevel="1">
      <c r="A510" s="12"/>
      <c r="B510" s="19"/>
      <c r="C510" s="19"/>
      <c r="D510" s="19"/>
      <c r="E510" s="18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14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20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9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</row>
    <row r="511" spans="1:68" ht="14.25" hidden="1" customHeight="1" outlineLevel="1">
      <c r="A511" s="12"/>
      <c r="B511" s="19"/>
      <c r="C511" s="19"/>
      <c r="D511" s="19"/>
      <c r="E511" s="18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14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20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9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</row>
    <row r="512" spans="1:68" ht="14.25" hidden="1" customHeight="1" outlineLevel="1">
      <c r="A512" s="12"/>
      <c r="B512" s="19"/>
      <c r="C512" s="19"/>
      <c r="D512" s="19"/>
      <c r="E512" s="18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14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20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9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</row>
    <row r="513" spans="1:68" ht="14.25" hidden="1" customHeight="1" outlineLevel="1">
      <c r="A513" s="12"/>
      <c r="B513" s="19"/>
      <c r="C513" s="19"/>
      <c r="D513" s="19"/>
      <c r="E513" s="18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14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20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9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</row>
    <row r="514" spans="1:68" ht="14.25" hidden="1" customHeight="1" outlineLevel="1">
      <c r="A514" s="12"/>
      <c r="B514" s="19"/>
      <c r="C514" s="19"/>
      <c r="D514" s="19"/>
      <c r="E514" s="18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14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20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9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</row>
    <row r="515" spans="1:68" ht="14.25" hidden="1" customHeight="1" outlineLevel="1">
      <c r="A515" s="12"/>
      <c r="B515" s="19"/>
      <c r="C515" s="19"/>
      <c r="D515" s="19"/>
      <c r="E515" s="18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14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20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9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</row>
    <row r="516" spans="1:68" ht="14.25" hidden="1" customHeight="1" outlineLevel="1">
      <c r="A516" s="12"/>
      <c r="B516" s="19"/>
      <c r="C516" s="19"/>
      <c r="D516" s="19"/>
      <c r="E516" s="18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14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20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9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</row>
    <row r="517" spans="1:68" ht="14.25" hidden="1" customHeight="1" outlineLevel="1">
      <c r="A517" s="12"/>
      <c r="B517" s="19"/>
      <c r="C517" s="19"/>
      <c r="D517" s="19"/>
      <c r="E517" s="18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14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20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9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</row>
    <row r="518" spans="1:68" ht="14.25" hidden="1" customHeight="1" outlineLevel="1">
      <c r="A518" s="12"/>
      <c r="B518" s="19"/>
      <c r="C518" s="19"/>
      <c r="D518" s="19"/>
      <c r="E518" s="18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14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20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9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</row>
    <row r="519" spans="1:68" ht="14.25" hidden="1" customHeight="1" outlineLevel="1">
      <c r="A519" s="12"/>
      <c r="B519" s="19"/>
      <c r="C519" s="19"/>
      <c r="D519" s="19"/>
      <c r="E519" s="18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14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20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9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</row>
    <row r="520" spans="1:68" ht="14.25" hidden="1" customHeight="1" outlineLevel="1">
      <c r="A520" s="12"/>
      <c r="B520" s="19"/>
      <c r="C520" s="19"/>
      <c r="D520" s="19"/>
      <c r="E520" s="18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14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20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9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</row>
    <row r="521" spans="1:68" ht="14.25" hidden="1" customHeight="1" outlineLevel="1">
      <c r="A521" s="12"/>
      <c r="B521" s="19"/>
      <c r="C521" s="19"/>
      <c r="D521" s="19"/>
      <c r="E521" s="18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14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20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  <c r="BB521" s="19"/>
      <c r="BC521" s="18"/>
      <c r="BD521" s="18"/>
      <c r="BE521" s="18"/>
      <c r="BF521" s="18"/>
      <c r="BG521" s="18"/>
      <c r="BH521" s="18"/>
      <c r="BI521" s="18"/>
      <c r="BJ521" s="18"/>
      <c r="BK521" s="18"/>
      <c r="BL521" s="18"/>
      <c r="BM521" s="18"/>
      <c r="BN521" s="18"/>
      <c r="BO521" s="18"/>
      <c r="BP521" s="18"/>
    </row>
    <row r="522" spans="1:68" ht="14.25" hidden="1" customHeight="1" outlineLevel="1">
      <c r="A522" s="12"/>
      <c r="B522" s="19"/>
      <c r="C522" s="19"/>
      <c r="D522" s="19"/>
      <c r="E522" s="18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14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20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9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</row>
    <row r="523" spans="1:68" ht="14.25" hidden="1" customHeight="1" outlineLevel="1">
      <c r="A523" s="12"/>
      <c r="B523" s="19"/>
      <c r="C523" s="19"/>
      <c r="D523" s="19"/>
      <c r="E523" s="18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14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20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9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</row>
    <row r="524" spans="1:68" ht="14.25" hidden="1" customHeight="1" outlineLevel="1">
      <c r="A524" s="12"/>
      <c r="B524" s="19"/>
      <c r="C524" s="19"/>
      <c r="D524" s="19"/>
      <c r="E524" s="18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14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20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9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</row>
    <row r="525" spans="1:68" ht="14.25" hidden="1" customHeight="1" outlineLevel="1">
      <c r="A525" s="12"/>
      <c r="B525" s="19"/>
      <c r="C525" s="19"/>
      <c r="D525" s="19"/>
      <c r="E525" s="18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14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20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9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</row>
    <row r="526" spans="1:68" ht="14.25" hidden="1" customHeight="1" outlineLevel="1">
      <c r="A526" s="12"/>
      <c r="B526" s="19"/>
      <c r="C526" s="19"/>
      <c r="D526" s="19"/>
      <c r="E526" s="18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14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20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9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</row>
    <row r="527" spans="1:68" ht="14.25" hidden="1" customHeight="1" outlineLevel="1">
      <c r="A527" s="12"/>
      <c r="B527" s="19"/>
      <c r="C527" s="19"/>
      <c r="D527" s="19"/>
      <c r="E527" s="18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14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20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9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</row>
    <row r="528" spans="1:68" ht="14.25" hidden="1" customHeight="1" outlineLevel="1">
      <c r="A528" s="12"/>
      <c r="B528" s="19"/>
      <c r="C528" s="19"/>
      <c r="D528" s="19"/>
      <c r="E528" s="18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14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20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9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</row>
    <row r="529" spans="1:68" ht="14.25" hidden="1" customHeight="1" outlineLevel="1">
      <c r="A529" s="12"/>
      <c r="B529" s="19"/>
      <c r="C529" s="19"/>
      <c r="D529" s="19"/>
      <c r="E529" s="18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14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20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9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</row>
    <row r="530" spans="1:68" ht="14.25" hidden="1" customHeight="1" outlineLevel="1">
      <c r="A530" s="12"/>
      <c r="B530" s="19"/>
      <c r="C530" s="19"/>
      <c r="D530" s="19"/>
      <c r="E530" s="18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14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20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9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</row>
    <row r="531" spans="1:68" ht="14.25" hidden="1" customHeight="1" outlineLevel="1">
      <c r="A531" s="12"/>
      <c r="B531" s="19"/>
      <c r="C531" s="19"/>
      <c r="D531" s="19"/>
      <c r="E531" s="18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14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20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9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</row>
    <row r="532" spans="1:68" ht="14.25" hidden="1" customHeight="1" outlineLevel="1">
      <c r="A532" s="12"/>
      <c r="B532" s="19"/>
      <c r="C532" s="19"/>
      <c r="D532" s="19"/>
      <c r="E532" s="18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14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20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9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</row>
    <row r="533" spans="1:68" ht="14.25" hidden="1" customHeight="1" outlineLevel="1">
      <c r="A533" s="12"/>
      <c r="B533" s="19"/>
      <c r="C533" s="19"/>
      <c r="D533" s="19"/>
      <c r="E533" s="18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14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20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9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</row>
    <row r="534" spans="1:68" ht="14.25" hidden="1" customHeight="1" outlineLevel="1">
      <c r="A534" s="12"/>
      <c r="B534" s="19"/>
      <c r="C534" s="19"/>
      <c r="D534" s="19"/>
      <c r="E534" s="18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14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20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9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</row>
    <row r="535" spans="1:68" ht="14.25" hidden="1" customHeight="1" outlineLevel="1">
      <c r="A535" s="12"/>
      <c r="B535" s="19"/>
      <c r="C535" s="19"/>
      <c r="D535" s="19"/>
      <c r="E535" s="18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14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20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9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</row>
    <row r="536" spans="1:68" ht="14.25" hidden="1" customHeight="1" outlineLevel="1">
      <c r="A536" s="12"/>
      <c r="B536" s="19"/>
      <c r="C536" s="19"/>
      <c r="D536" s="19"/>
      <c r="E536" s="18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14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20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9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</row>
    <row r="537" spans="1:68" ht="14.25" hidden="1" customHeight="1" outlineLevel="1">
      <c r="A537" s="12"/>
      <c r="B537" s="19"/>
      <c r="C537" s="19"/>
      <c r="D537" s="19"/>
      <c r="E537" s="18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14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20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9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</row>
    <row r="538" spans="1:68" ht="14.25" hidden="1" customHeight="1" outlineLevel="1">
      <c r="A538" s="12"/>
      <c r="B538" s="19"/>
      <c r="C538" s="19"/>
      <c r="D538" s="19"/>
      <c r="E538" s="18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14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20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9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</row>
    <row r="539" spans="1:68" ht="14.25" hidden="1" customHeight="1" outlineLevel="1">
      <c r="A539" s="12"/>
      <c r="B539" s="19"/>
      <c r="C539" s="19"/>
      <c r="D539" s="19"/>
      <c r="E539" s="18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14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20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9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</row>
    <row r="540" spans="1:68" ht="14.25" hidden="1" customHeight="1" outlineLevel="1">
      <c r="A540" s="12"/>
      <c r="B540" s="19"/>
      <c r="C540" s="19"/>
      <c r="D540" s="19"/>
      <c r="E540" s="18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14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20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9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</row>
    <row r="541" spans="1:68" ht="14.25" hidden="1" customHeight="1" outlineLevel="1">
      <c r="A541" s="12"/>
      <c r="B541" s="19"/>
      <c r="C541" s="19"/>
      <c r="D541" s="19"/>
      <c r="E541" s="18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14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20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9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</row>
    <row r="542" spans="1:68" ht="14.25" hidden="1" customHeight="1" outlineLevel="1">
      <c r="A542" s="12"/>
      <c r="B542" s="19"/>
      <c r="C542" s="19"/>
      <c r="D542" s="19"/>
      <c r="E542" s="18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14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20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9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</row>
    <row r="543" spans="1:68" ht="14.25" hidden="1" customHeight="1" outlineLevel="1">
      <c r="A543" s="12"/>
      <c r="B543" s="19"/>
      <c r="C543" s="19"/>
      <c r="D543" s="19"/>
      <c r="E543" s="18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14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20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9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</row>
    <row r="544" spans="1:68" ht="14.25" hidden="1" customHeight="1" outlineLevel="1">
      <c r="A544" s="12"/>
      <c r="B544" s="19"/>
      <c r="C544" s="19"/>
      <c r="D544" s="19"/>
      <c r="E544" s="18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14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20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9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</row>
    <row r="545" spans="1:68" ht="14.25" hidden="1" customHeight="1" outlineLevel="1">
      <c r="A545" s="12"/>
      <c r="B545" s="19"/>
      <c r="C545" s="19"/>
      <c r="D545" s="19"/>
      <c r="E545" s="18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14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20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9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</row>
    <row r="546" spans="1:68" ht="14.25" hidden="1" customHeight="1" outlineLevel="1">
      <c r="A546" s="12"/>
      <c r="B546" s="19"/>
      <c r="C546" s="19"/>
      <c r="D546" s="19"/>
      <c r="E546" s="18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14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20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9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</row>
    <row r="547" spans="1:68" ht="14.25" hidden="1" customHeight="1" outlineLevel="1">
      <c r="A547" s="12"/>
      <c r="B547" s="19"/>
      <c r="C547" s="19"/>
      <c r="D547" s="19"/>
      <c r="E547" s="18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14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20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9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</row>
    <row r="548" spans="1:68" ht="14.25" hidden="1" customHeight="1" outlineLevel="1">
      <c r="A548" s="12"/>
      <c r="B548" s="19"/>
      <c r="C548" s="19"/>
      <c r="D548" s="19"/>
      <c r="E548" s="18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14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20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9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</row>
    <row r="549" spans="1:68" ht="14.25" hidden="1" customHeight="1" outlineLevel="1">
      <c r="A549" s="12"/>
      <c r="B549" s="19"/>
      <c r="C549" s="19"/>
      <c r="D549" s="19"/>
      <c r="E549" s="18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14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20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9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</row>
    <row r="550" spans="1:68" ht="14.25" hidden="1" customHeight="1" outlineLevel="1">
      <c r="A550" s="12"/>
      <c r="B550" s="19"/>
      <c r="C550" s="19"/>
      <c r="D550" s="19"/>
      <c r="E550" s="18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14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20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9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</row>
    <row r="551" spans="1:68" ht="14.25" hidden="1" customHeight="1" outlineLevel="1">
      <c r="A551" s="12"/>
      <c r="B551" s="19"/>
      <c r="C551" s="19"/>
      <c r="D551" s="19"/>
      <c r="E551" s="18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14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20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9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</row>
    <row r="552" spans="1:68" ht="14.25" hidden="1" customHeight="1" outlineLevel="1">
      <c r="A552" s="12"/>
      <c r="B552" s="19"/>
      <c r="C552" s="19"/>
      <c r="D552" s="19"/>
      <c r="E552" s="18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14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20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9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</row>
    <row r="553" spans="1:68" ht="14.25" hidden="1" customHeight="1" outlineLevel="1">
      <c r="A553" s="12"/>
      <c r="B553" s="19"/>
      <c r="C553" s="19"/>
      <c r="D553" s="19"/>
      <c r="E553" s="18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14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20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9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</row>
    <row r="554" spans="1:68" ht="14.25" hidden="1" customHeight="1" outlineLevel="1">
      <c r="A554" s="12"/>
      <c r="B554" s="19"/>
      <c r="C554" s="19"/>
      <c r="D554" s="19"/>
      <c r="E554" s="18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14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20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9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</row>
    <row r="555" spans="1:68" ht="14.25" hidden="1" customHeight="1" outlineLevel="1">
      <c r="A555" s="12"/>
      <c r="B555" s="19"/>
      <c r="C555" s="19"/>
      <c r="D555" s="19"/>
      <c r="E555" s="18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14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20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9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</row>
    <row r="556" spans="1:68" ht="14.25" hidden="1" customHeight="1" outlineLevel="1">
      <c r="A556" s="12"/>
      <c r="B556" s="19"/>
      <c r="C556" s="19"/>
      <c r="D556" s="19"/>
      <c r="E556" s="18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14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20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9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</row>
    <row r="557" spans="1:68" ht="14.25" hidden="1" customHeight="1" outlineLevel="1">
      <c r="A557" s="12"/>
      <c r="B557" s="19"/>
      <c r="C557" s="19"/>
      <c r="D557" s="19"/>
      <c r="E557" s="18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14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20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  <c r="BB557" s="19"/>
      <c r="BC557" s="18"/>
      <c r="BD557" s="18"/>
      <c r="BE557" s="18"/>
      <c r="BF557" s="18"/>
      <c r="BG557" s="18"/>
      <c r="BH557" s="18"/>
      <c r="BI557" s="18"/>
      <c r="BJ557" s="18"/>
      <c r="BK557" s="18"/>
      <c r="BL557" s="18"/>
      <c r="BM557" s="18"/>
      <c r="BN557" s="18"/>
      <c r="BO557" s="18"/>
      <c r="BP557" s="18"/>
    </row>
    <row r="558" spans="1:68" ht="14.25" hidden="1" customHeight="1" outlineLevel="1">
      <c r="A558" s="12"/>
      <c r="B558" s="19"/>
      <c r="C558" s="19"/>
      <c r="D558" s="19"/>
      <c r="E558" s="18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14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20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9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</row>
    <row r="559" spans="1:68" ht="14.25" hidden="1" customHeight="1" outlineLevel="1">
      <c r="A559" s="12"/>
      <c r="B559" s="19"/>
      <c r="C559" s="19"/>
      <c r="D559" s="19"/>
      <c r="E559" s="18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14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20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9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</row>
    <row r="560" spans="1:68" ht="14.25" hidden="1" customHeight="1" outlineLevel="1">
      <c r="A560" s="12"/>
      <c r="B560" s="19"/>
      <c r="C560" s="19"/>
      <c r="D560" s="19"/>
      <c r="E560" s="18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14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20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  <c r="BB560" s="19"/>
      <c r="BC560" s="18"/>
      <c r="BD560" s="18"/>
      <c r="BE560" s="18"/>
      <c r="BF560" s="18"/>
      <c r="BG560" s="18"/>
      <c r="BH560" s="18"/>
      <c r="BI560" s="18"/>
      <c r="BJ560" s="18"/>
      <c r="BK560" s="18"/>
      <c r="BL560" s="18"/>
      <c r="BM560" s="18"/>
      <c r="BN560" s="18"/>
      <c r="BO560" s="18"/>
      <c r="BP560" s="18"/>
    </row>
    <row r="561" spans="1:68" ht="14.25" hidden="1" customHeight="1" outlineLevel="1">
      <c r="A561" s="12"/>
      <c r="B561" s="19"/>
      <c r="C561" s="19"/>
      <c r="D561" s="19"/>
      <c r="E561" s="18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14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20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9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</row>
    <row r="562" spans="1:68" ht="14.25" hidden="1" customHeight="1" outlineLevel="1">
      <c r="A562" s="12"/>
      <c r="B562" s="19"/>
      <c r="C562" s="19"/>
      <c r="D562" s="19"/>
      <c r="E562" s="18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14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20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9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</row>
    <row r="563" spans="1:68" ht="14.25" hidden="1" customHeight="1" outlineLevel="1">
      <c r="A563" s="12"/>
      <c r="B563" s="19"/>
      <c r="C563" s="19"/>
      <c r="D563" s="19"/>
      <c r="E563" s="18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14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20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9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</row>
    <row r="564" spans="1:68" ht="14.25" hidden="1" customHeight="1" outlineLevel="1">
      <c r="A564" s="12"/>
      <c r="B564" s="19"/>
      <c r="C564" s="19"/>
      <c r="D564" s="19"/>
      <c r="E564" s="18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14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20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9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</row>
    <row r="565" spans="1:68" ht="14.25" hidden="1" customHeight="1" outlineLevel="1">
      <c r="A565" s="12"/>
      <c r="B565" s="19"/>
      <c r="C565" s="19"/>
      <c r="D565" s="19"/>
      <c r="E565" s="18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14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20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9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</row>
    <row r="566" spans="1:68" ht="14.25" hidden="1" customHeight="1" outlineLevel="1">
      <c r="A566" s="12"/>
      <c r="B566" s="19"/>
      <c r="C566" s="19"/>
      <c r="D566" s="19"/>
      <c r="E566" s="18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14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20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9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</row>
    <row r="567" spans="1:68" ht="14.25" hidden="1" customHeight="1" outlineLevel="1">
      <c r="A567" s="12"/>
      <c r="B567" s="19"/>
      <c r="C567" s="19"/>
      <c r="D567" s="19"/>
      <c r="E567" s="18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14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20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9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</row>
    <row r="568" spans="1:68" ht="14.25" hidden="1" customHeight="1" outlineLevel="1">
      <c r="A568" s="12"/>
      <c r="B568" s="19"/>
      <c r="C568" s="19"/>
      <c r="D568" s="19"/>
      <c r="E568" s="18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14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20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9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</row>
    <row r="569" spans="1:68" ht="14.25" hidden="1" customHeight="1" outlineLevel="1">
      <c r="A569" s="12"/>
      <c r="B569" s="19"/>
      <c r="C569" s="19"/>
      <c r="D569" s="19"/>
      <c r="E569" s="18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14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20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9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</row>
    <row r="570" spans="1:68" ht="14.25" hidden="1" customHeight="1" outlineLevel="1">
      <c r="A570" s="12"/>
      <c r="B570" s="19"/>
      <c r="C570" s="19"/>
      <c r="D570" s="19"/>
      <c r="E570" s="18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14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20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  <c r="BB570" s="19"/>
      <c r="BC570" s="18"/>
      <c r="BD570" s="18"/>
      <c r="BE570" s="18"/>
      <c r="BF570" s="18"/>
      <c r="BG570" s="18"/>
      <c r="BH570" s="18"/>
      <c r="BI570" s="18"/>
      <c r="BJ570" s="18"/>
      <c r="BK570" s="18"/>
      <c r="BL570" s="18"/>
      <c r="BM570" s="18"/>
      <c r="BN570" s="18"/>
      <c r="BO570" s="18"/>
      <c r="BP570" s="18"/>
    </row>
    <row r="571" spans="1:68" ht="14.25" hidden="1" customHeight="1" outlineLevel="1">
      <c r="A571" s="12"/>
      <c r="B571" s="19"/>
      <c r="C571" s="19"/>
      <c r="D571" s="19"/>
      <c r="E571" s="18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14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20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9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</row>
    <row r="572" spans="1:68" ht="14.25" hidden="1" customHeight="1" outlineLevel="1">
      <c r="A572" s="12"/>
      <c r="B572" s="19"/>
      <c r="C572" s="19"/>
      <c r="D572" s="19"/>
      <c r="E572" s="18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14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20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9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</row>
    <row r="573" spans="1:68" ht="14.25" hidden="1" customHeight="1" outlineLevel="1">
      <c r="A573" s="12"/>
      <c r="B573" s="19"/>
      <c r="C573" s="19"/>
      <c r="D573" s="19"/>
      <c r="E573" s="18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14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20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9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</row>
    <row r="574" spans="1:68" ht="14.25" hidden="1" customHeight="1" outlineLevel="1">
      <c r="A574" s="12"/>
      <c r="B574" s="19"/>
      <c r="C574" s="19"/>
      <c r="D574" s="19"/>
      <c r="E574" s="18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14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20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9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</row>
    <row r="575" spans="1:68" ht="14.25" hidden="1" customHeight="1" outlineLevel="1">
      <c r="A575" s="12"/>
      <c r="B575" s="19"/>
      <c r="C575" s="19"/>
      <c r="D575" s="19"/>
      <c r="E575" s="18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14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20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9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</row>
    <row r="576" spans="1:68" ht="14.25" hidden="1" customHeight="1" outlineLevel="1">
      <c r="A576" s="12"/>
      <c r="B576" s="19"/>
      <c r="C576" s="19"/>
      <c r="D576" s="19"/>
      <c r="E576" s="18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14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20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9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</row>
    <row r="577" spans="1:68" ht="14.25" hidden="1" customHeight="1" outlineLevel="1">
      <c r="A577" s="12"/>
      <c r="B577" s="19"/>
      <c r="C577" s="19"/>
      <c r="D577" s="19"/>
      <c r="E577" s="18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14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20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9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</row>
    <row r="578" spans="1:68" ht="14.25" hidden="1" customHeight="1" outlineLevel="1">
      <c r="A578" s="12"/>
      <c r="B578" s="19"/>
      <c r="C578" s="19"/>
      <c r="D578" s="19"/>
      <c r="E578" s="18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14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20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9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</row>
    <row r="579" spans="1:68" ht="14.25" hidden="1" customHeight="1" outlineLevel="1">
      <c r="A579" s="12"/>
      <c r="B579" s="19"/>
      <c r="C579" s="19"/>
      <c r="D579" s="19"/>
      <c r="E579" s="18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14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20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9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</row>
    <row r="580" spans="1:68" ht="14.25" hidden="1" customHeight="1" outlineLevel="1">
      <c r="A580" s="12"/>
      <c r="B580" s="19"/>
      <c r="C580" s="19"/>
      <c r="D580" s="19"/>
      <c r="E580" s="18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14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20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9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</row>
    <row r="581" spans="1:68" ht="14.25" hidden="1" customHeight="1" outlineLevel="1">
      <c r="A581" s="12"/>
      <c r="B581" s="19"/>
      <c r="C581" s="19"/>
      <c r="D581" s="19"/>
      <c r="E581" s="18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14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20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9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</row>
    <row r="582" spans="1:68" ht="14.25" hidden="1" customHeight="1" outlineLevel="1">
      <c r="A582" s="12"/>
      <c r="B582" s="19"/>
      <c r="C582" s="19"/>
      <c r="D582" s="19"/>
      <c r="E582" s="18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14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20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9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</row>
    <row r="583" spans="1:68" ht="14.25" hidden="1" customHeight="1" outlineLevel="1">
      <c r="A583" s="12"/>
      <c r="B583" s="19"/>
      <c r="C583" s="19"/>
      <c r="D583" s="19"/>
      <c r="E583" s="18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14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20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9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</row>
    <row r="584" spans="1:68" ht="14.25" hidden="1" customHeight="1" outlineLevel="1">
      <c r="A584" s="12"/>
      <c r="B584" s="19"/>
      <c r="C584" s="19"/>
      <c r="D584" s="19"/>
      <c r="E584" s="18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14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20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9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</row>
    <row r="585" spans="1:68" ht="14.25" hidden="1" customHeight="1" outlineLevel="1">
      <c r="A585" s="12"/>
      <c r="B585" s="19"/>
      <c r="C585" s="19"/>
      <c r="D585" s="19"/>
      <c r="E585" s="18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14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20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9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</row>
    <row r="586" spans="1:68" ht="14.25" hidden="1" customHeight="1" outlineLevel="1">
      <c r="A586" s="12"/>
      <c r="B586" s="19"/>
      <c r="C586" s="19"/>
      <c r="D586" s="19"/>
      <c r="E586" s="18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14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20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9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</row>
    <row r="587" spans="1:68" ht="14.25" hidden="1" customHeight="1" outlineLevel="1">
      <c r="A587" s="12"/>
      <c r="B587" s="19"/>
      <c r="C587" s="19"/>
      <c r="D587" s="19"/>
      <c r="E587" s="18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14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20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9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</row>
    <row r="588" spans="1:68" ht="14.25" hidden="1" customHeight="1" outlineLevel="1">
      <c r="A588" s="12"/>
      <c r="B588" s="19"/>
      <c r="C588" s="19"/>
      <c r="D588" s="19"/>
      <c r="E588" s="18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14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20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9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</row>
    <row r="589" spans="1:68" ht="14.25" hidden="1" customHeight="1" outlineLevel="1">
      <c r="A589" s="12"/>
      <c r="B589" s="19"/>
      <c r="C589" s="19"/>
      <c r="D589" s="19"/>
      <c r="E589" s="18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14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20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9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</row>
    <row r="590" spans="1:68" ht="14.25" hidden="1" customHeight="1" outlineLevel="1">
      <c r="A590" s="12"/>
      <c r="B590" s="19"/>
      <c r="C590" s="19"/>
      <c r="D590" s="19"/>
      <c r="E590" s="18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14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20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9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</row>
    <row r="591" spans="1:68" ht="14.25" hidden="1" customHeight="1" outlineLevel="1">
      <c r="A591" s="12"/>
      <c r="B591" s="19"/>
      <c r="C591" s="19"/>
      <c r="D591" s="19"/>
      <c r="E591" s="18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14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20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9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</row>
    <row r="592" spans="1:68" ht="14.25" hidden="1" customHeight="1" outlineLevel="1">
      <c r="A592" s="12"/>
      <c r="B592" s="19"/>
      <c r="C592" s="19"/>
      <c r="D592" s="19"/>
      <c r="E592" s="18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14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20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9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</row>
    <row r="593" spans="1:68" ht="14.25" hidden="1" customHeight="1" outlineLevel="1">
      <c r="A593" s="12"/>
      <c r="B593" s="19"/>
      <c r="C593" s="19"/>
      <c r="D593" s="19"/>
      <c r="E593" s="18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14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20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9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</row>
    <row r="594" spans="1:68" ht="14.25" hidden="1" customHeight="1" outlineLevel="1">
      <c r="A594" s="12"/>
      <c r="B594" s="19"/>
      <c r="C594" s="19"/>
      <c r="D594" s="19"/>
      <c r="E594" s="18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14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20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9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</row>
    <row r="595" spans="1:68" ht="14.25" hidden="1" customHeight="1" outlineLevel="1">
      <c r="A595" s="12"/>
      <c r="B595" s="19"/>
      <c r="C595" s="19"/>
      <c r="D595" s="19"/>
      <c r="E595" s="18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14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20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9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</row>
    <row r="596" spans="1:68" ht="14.25" hidden="1" customHeight="1" outlineLevel="1">
      <c r="A596" s="12"/>
      <c r="B596" s="19"/>
      <c r="C596" s="19"/>
      <c r="D596" s="19"/>
      <c r="E596" s="18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14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20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9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</row>
    <row r="597" spans="1:68" ht="14.25" hidden="1" customHeight="1" outlineLevel="1">
      <c r="A597" s="12"/>
      <c r="B597" s="19"/>
      <c r="C597" s="19"/>
      <c r="D597" s="19"/>
      <c r="E597" s="18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14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20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9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</row>
    <row r="598" spans="1:68" ht="14.25" hidden="1" customHeight="1" outlineLevel="1">
      <c r="A598" s="12"/>
      <c r="B598" s="19"/>
      <c r="C598" s="19"/>
      <c r="D598" s="19"/>
      <c r="E598" s="18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14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20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9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</row>
    <row r="599" spans="1:68" ht="14.25" hidden="1" customHeight="1" outlineLevel="1">
      <c r="A599" s="12"/>
      <c r="B599" s="19"/>
      <c r="C599" s="19"/>
      <c r="D599" s="19"/>
      <c r="E599" s="18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14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20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9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</row>
    <row r="600" spans="1:68" ht="14.25" hidden="1" customHeight="1" outlineLevel="1">
      <c r="A600" s="12"/>
      <c r="B600" s="19"/>
      <c r="C600" s="19"/>
      <c r="D600" s="19"/>
      <c r="E600" s="18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14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20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9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</row>
    <row r="601" spans="1:68" ht="14.25" hidden="1" customHeight="1" outlineLevel="1">
      <c r="A601" s="12"/>
      <c r="B601" s="19"/>
      <c r="C601" s="19"/>
      <c r="D601" s="19"/>
      <c r="E601" s="18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14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20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9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</row>
    <row r="602" spans="1:68" ht="14.25" hidden="1" customHeight="1" outlineLevel="1">
      <c r="A602" s="12"/>
      <c r="B602" s="19"/>
      <c r="C602" s="19"/>
      <c r="D602" s="19"/>
      <c r="E602" s="18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14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20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9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</row>
    <row r="603" spans="1:68" ht="14.25" hidden="1" customHeight="1" outlineLevel="1">
      <c r="A603" s="12"/>
      <c r="B603" s="19"/>
      <c r="C603" s="19"/>
      <c r="D603" s="19"/>
      <c r="E603" s="18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14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20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9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</row>
    <row r="604" spans="1:68" ht="14.25" hidden="1" customHeight="1" outlineLevel="1">
      <c r="A604" s="12"/>
      <c r="B604" s="19"/>
      <c r="C604" s="19"/>
      <c r="D604" s="19"/>
      <c r="E604" s="18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14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20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9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</row>
    <row r="605" spans="1:68" ht="14.25" hidden="1" customHeight="1" outlineLevel="1">
      <c r="A605" s="12"/>
      <c r="B605" s="19"/>
      <c r="C605" s="19"/>
      <c r="D605" s="19"/>
      <c r="E605" s="18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14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20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9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</row>
    <row r="606" spans="1:68" ht="14.25" hidden="1" customHeight="1" outlineLevel="1">
      <c r="A606" s="12"/>
      <c r="B606" s="19"/>
      <c r="C606" s="19"/>
      <c r="D606" s="19"/>
      <c r="E606" s="18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14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20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9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</row>
    <row r="607" spans="1:68" ht="14.25" hidden="1" customHeight="1" outlineLevel="1">
      <c r="A607" s="12"/>
      <c r="B607" s="19"/>
      <c r="C607" s="19"/>
      <c r="D607" s="19"/>
      <c r="E607" s="18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14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20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9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</row>
    <row r="608" spans="1:68" ht="14.25" hidden="1" customHeight="1" outlineLevel="1">
      <c r="A608" s="12"/>
      <c r="B608" s="19"/>
      <c r="C608" s="19"/>
      <c r="D608" s="19"/>
      <c r="E608" s="18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14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20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9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</row>
    <row r="609" spans="1:68" ht="14.25" hidden="1" customHeight="1" outlineLevel="1">
      <c r="A609" s="12"/>
      <c r="B609" s="19"/>
      <c r="C609" s="19"/>
      <c r="D609" s="19"/>
      <c r="E609" s="18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14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20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9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</row>
    <row r="610" spans="1:68" ht="14.25" hidden="1" customHeight="1" outlineLevel="1">
      <c r="A610" s="12"/>
      <c r="B610" s="19"/>
      <c r="C610" s="19"/>
      <c r="D610" s="19"/>
      <c r="E610" s="18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14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20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9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</row>
    <row r="611" spans="1:68" ht="14.25" hidden="1" customHeight="1" outlineLevel="1">
      <c r="A611" s="12"/>
      <c r="B611" s="19"/>
      <c r="C611" s="19"/>
      <c r="D611" s="19"/>
      <c r="E611" s="18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14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20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9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</row>
    <row r="612" spans="1:68" ht="14.25" hidden="1" customHeight="1" outlineLevel="1">
      <c r="A612" s="12"/>
      <c r="B612" s="19"/>
      <c r="C612" s="19"/>
      <c r="D612" s="19"/>
      <c r="E612" s="18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14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20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9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</row>
    <row r="613" spans="1:68" ht="14.25" hidden="1" customHeight="1" outlineLevel="1">
      <c r="A613" s="12"/>
      <c r="B613" s="19"/>
      <c r="C613" s="19"/>
      <c r="D613" s="19"/>
      <c r="E613" s="18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14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20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9"/>
      <c r="BC613" s="18"/>
      <c r="BD613" s="18"/>
      <c r="BE613" s="18"/>
      <c r="BF613" s="18"/>
      <c r="BG613" s="18"/>
      <c r="BH613" s="18"/>
      <c r="BI613" s="18"/>
      <c r="BJ613" s="18"/>
      <c r="BK613" s="18"/>
      <c r="BL613" s="18"/>
      <c r="BM613" s="18"/>
      <c r="BN613" s="18"/>
      <c r="BO613" s="18"/>
      <c r="BP613" s="18"/>
    </row>
    <row r="614" spans="1:68" ht="14.25" hidden="1" customHeight="1" outlineLevel="1">
      <c r="A614" s="12"/>
      <c r="B614" s="19"/>
      <c r="C614" s="19"/>
      <c r="D614" s="19"/>
      <c r="E614" s="18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14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20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9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</row>
    <row r="615" spans="1:68" ht="14.25" hidden="1" customHeight="1" outlineLevel="1">
      <c r="A615" s="12"/>
      <c r="B615" s="19"/>
      <c r="C615" s="19"/>
      <c r="D615" s="19"/>
      <c r="E615" s="18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14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20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9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</row>
    <row r="616" spans="1:68" ht="14.25" hidden="1" customHeight="1" outlineLevel="1">
      <c r="A616" s="12"/>
      <c r="B616" s="19"/>
      <c r="C616" s="19"/>
      <c r="D616" s="19"/>
      <c r="E616" s="18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14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20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9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</row>
    <row r="617" spans="1:68" ht="14.25" hidden="1" customHeight="1" outlineLevel="1">
      <c r="A617" s="12"/>
      <c r="B617" s="19"/>
      <c r="C617" s="19"/>
      <c r="D617" s="19"/>
      <c r="E617" s="18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14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20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9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</row>
    <row r="618" spans="1:68" ht="14.25" hidden="1" customHeight="1" outlineLevel="1">
      <c r="A618" s="12"/>
      <c r="B618" s="19"/>
      <c r="C618" s="19"/>
      <c r="D618" s="19"/>
      <c r="E618" s="18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14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20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9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</row>
    <row r="619" spans="1:68" ht="14.25" hidden="1" customHeight="1" outlineLevel="1">
      <c r="A619" s="12"/>
      <c r="B619" s="19"/>
      <c r="C619" s="19"/>
      <c r="D619" s="19"/>
      <c r="E619" s="18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14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20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9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</row>
    <row r="620" spans="1:68" ht="14.25" hidden="1" customHeight="1" outlineLevel="1">
      <c r="A620" s="12"/>
      <c r="B620" s="19"/>
      <c r="C620" s="19"/>
      <c r="D620" s="19"/>
      <c r="E620" s="18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14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20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9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</row>
    <row r="621" spans="1:68" ht="14.25" hidden="1" customHeight="1" outlineLevel="1">
      <c r="A621" s="12"/>
      <c r="B621" s="19"/>
      <c r="C621" s="19"/>
      <c r="D621" s="19"/>
      <c r="E621" s="18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14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20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9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</row>
    <row r="622" spans="1:68" ht="14.25" hidden="1" customHeight="1" outlineLevel="1">
      <c r="A622" s="12"/>
      <c r="B622" s="19"/>
      <c r="C622" s="19"/>
      <c r="D622" s="19"/>
      <c r="E622" s="18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14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20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9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</row>
    <row r="623" spans="1:68" ht="14.25" hidden="1" customHeight="1" outlineLevel="1">
      <c r="A623" s="12"/>
      <c r="B623" s="19"/>
      <c r="C623" s="19"/>
      <c r="D623" s="19"/>
      <c r="E623" s="18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14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20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9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</row>
    <row r="624" spans="1:68" ht="14.25" hidden="1" customHeight="1" outlineLevel="1">
      <c r="A624" s="12"/>
      <c r="B624" s="19"/>
      <c r="C624" s="19"/>
      <c r="D624" s="19"/>
      <c r="E624" s="18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14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20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9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</row>
    <row r="625" spans="1:68" ht="14.25" hidden="1" customHeight="1" outlineLevel="1">
      <c r="A625" s="12"/>
      <c r="B625" s="19"/>
      <c r="C625" s="19"/>
      <c r="D625" s="19"/>
      <c r="E625" s="18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14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20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9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</row>
    <row r="626" spans="1:68" ht="14.25" hidden="1" customHeight="1" outlineLevel="1">
      <c r="A626" s="12"/>
      <c r="B626" s="19"/>
      <c r="C626" s="19"/>
      <c r="D626" s="19"/>
      <c r="E626" s="18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14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20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9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</row>
    <row r="627" spans="1:68" ht="14.25" hidden="1" customHeight="1" outlineLevel="1">
      <c r="A627" s="12"/>
      <c r="B627" s="19"/>
      <c r="C627" s="19"/>
      <c r="D627" s="19"/>
      <c r="E627" s="18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14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20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9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</row>
    <row r="628" spans="1:68" ht="14.25" hidden="1" customHeight="1" outlineLevel="1">
      <c r="A628" s="12"/>
      <c r="B628" s="19"/>
      <c r="C628" s="19"/>
      <c r="D628" s="19"/>
      <c r="E628" s="18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14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20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9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</row>
    <row r="629" spans="1:68" ht="14.25" hidden="1" customHeight="1" outlineLevel="1">
      <c r="A629" s="12"/>
      <c r="B629" s="19"/>
      <c r="C629" s="19"/>
      <c r="D629" s="19"/>
      <c r="E629" s="18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14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20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9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</row>
    <row r="630" spans="1:68" ht="14.25" hidden="1" customHeight="1" outlineLevel="1">
      <c r="A630" s="12"/>
      <c r="B630" s="19"/>
      <c r="C630" s="19"/>
      <c r="D630" s="19"/>
      <c r="E630" s="18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14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20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9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</row>
    <row r="631" spans="1:68" ht="14.25" hidden="1" customHeight="1" outlineLevel="1">
      <c r="A631" s="12"/>
      <c r="B631" s="19"/>
      <c r="C631" s="19"/>
      <c r="D631" s="19"/>
      <c r="E631" s="18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14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20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9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</row>
    <row r="632" spans="1:68" ht="14.25" hidden="1" customHeight="1" outlineLevel="1">
      <c r="A632" s="12"/>
      <c r="B632" s="19"/>
      <c r="C632" s="19"/>
      <c r="D632" s="19"/>
      <c r="E632" s="18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14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20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9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</row>
    <row r="633" spans="1:68" ht="14.25" hidden="1" customHeight="1" outlineLevel="1">
      <c r="A633" s="12"/>
      <c r="B633" s="19"/>
      <c r="C633" s="19"/>
      <c r="D633" s="19"/>
      <c r="E633" s="18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14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20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9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</row>
    <row r="634" spans="1:68" ht="14.25" hidden="1" customHeight="1" outlineLevel="1">
      <c r="A634" s="12"/>
      <c r="B634" s="19"/>
      <c r="C634" s="19"/>
      <c r="D634" s="19"/>
      <c r="E634" s="18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14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20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9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</row>
    <row r="635" spans="1:68" ht="14.25" hidden="1" customHeight="1" outlineLevel="1">
      <c r="A635" s="12"/>
      <c r="B635" s="19"/>
      <c r="C635" s="19"/>
      <c r="D635" s="19"/>
      <c r="E635" s="18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14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20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9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</row>
    <row r="636" spans="1:68" ht="14.25" hidden="1" customHeight="1" outlineLevel="1">
      <c r="A636" s="12"/>
      <c r="B636" s="19"/>
      <c r="C636" s="19"/>
      <c r="D636" s="19"/>
      <c r="E636" s="18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14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20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9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</row>
    <row r="637" spans="1:68" ht="14.25" hidden="1" customHeight="1" outlineLevel="1">
      <c r="A637" s="12"/>
      <c r="B637" s="19"/>
      <c r="C637" s="19"/>
      <c r="D637" s="19"/>
      <c r="E637" s="18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14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20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9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</row>
    <row r="638" spans="1:68" ht="14.25" hidden="1" customHeight="1" outlineLevel="1">
      <c r="A638" s="12"/>
      <c r="B638" s="19"/>
      <c r="C638" s="19"/>
      <c r="D638" s="19"/>
      <c r="E638" s="18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14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20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9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</row>
    <row r="639" spans="1:68" ht="14.25" hidden="1" customHeight="1" outlineLevel="1">
      <c r="A639" s="12"/>
      <c r="B639" s="19"/>
      <c r="C639" s="19"/>
      <c r="D639" s="19"/>
      <c r="E639" s="18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14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20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9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</row>
    <row r="640" spans="1:68" ht="14.25" hidden="1" customHeight="1" outlineLevel="1">
      <c r="A640" s="12"/>
      <c r="B640" s="19"/>
      <c r="C640" s="19"/>
      <c r="D640" s="19"/>
      <c r="E640" s="18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14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20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9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</row>
    <row r="641" spans="1:68" ht="14.25" hidden="1" customHeight="1" outlineLevel="1">
      <c r="A641" s="12"/>
      <c r="B641" s="19"/>
      <c r="C641" s="19"/>
      <c r="D641" s="19"/>
      <c r="E641" s="18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14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20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9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</row>
    <row r="642" spans="1:68" ht="14.25" hidden="1" customHeight="1" outlineLevel="1">
      <c r="A642" s="12"/>
      <c r="B642" s="19"/>
      <c r="C642" s="19"/>
      <c r="D642" s="19"/>
      <c r="E642" s="18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14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20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9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</row>
    <row r="643" spans="1:68" ht="14.25" hidden="1" customHeight="1" outlineLevel="1">
      <c r="A643" s="12"/>
      <c r="B643" s="19"/>
      <c r="C643" s="19"/>
      <c r="D643" s="19"/>
      <c r="E643" s="18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14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20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9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</row>
    <row r="644" spans="1:68" ht="14.25" hidden="1" customHeight="1" outlineLevel="1">
      <c r="A644" s="12"/>
      <c r="B644" s="19"/>
      <c r="C644" s="19"/>
      <c r="D644" s="19"/>
      <c r="E644" s="18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14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20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9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</row>
    <row r="645" spans="1:68" ht="14.25" hidden="1" customHeight="1" outlineLevel="1">
      <c r="A645" s="12"/>
      <c r="B645" s="19"/>
      <c r="C645" s="19"/>
      <c r="D645" s="19"/>
      <c r="E645" s="18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14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20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9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</row>
    <row r="646" spans="1:68" ht="14.25" hidden="1" customHeight="1" outlineLevel="1">
      <c r="A646" s="12"/>
      <c r="B646" s="19"/>
      <c r="C646" s="19"/>
      <c r="D646" s="19"/>
      <c r="E646" s="18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14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20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9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</row>
    <row r="647" spans="1:68" ht="14.25" hidden="1" customHeight="1" outlineLevel="1">
      <c r="A647" s="12"/>
      <c r="B647" s="19"/>
      <c r="C647" s="19"/>
      <c r="D647" s="19"/>
      <c r="E647" s="18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14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20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9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</row>
    <row r="648" spans="1:68" ht="14.25" hidden="1" customHeight="1" outlineLevel="1">
      <c r="A648" s="12"/>
      <c r="B648" s="19"/>
      <c r="C648" s="19"/>
      <c r="D648" s="19"/>
      <c r="E648" s="18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14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20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9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</row>
    <row r="649" spans="1:68" ht="14.25" hidden="1" customHeight="1" outlineLevel="1">
      <c r="A649" s="12"/>
      <c r="B649" s="19"/>
      <c r="C649" s="19"/>
      <c r="D649" s="19"/>
      <c r="E649" s="18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14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20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9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</row>
    <row r="650" spans="1:68" ht="14.25" hidden="1" customHeight="1" outlineLevel="1">
      <c r="A650" s="12"/>
      <c r="B650" s="19"/>
      <c r="C650" s="19"/>
      <c r="D650" s="19"/>
      <c r="E650" s="18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14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20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9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</row>
    <row r="651" spans="1:68" ht="14.25" hidden="1" customHeight="1" outlineLevel="1">
      <c r="A651" s="12"/>
      <c r="B651" s="19"/>
      <c r="C651" s="19"/>
      <c r="D651" s="19"/>
      <c r="E651" s="18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14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20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9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</row>
    <row r="652" spans="1:68" ht="14.25" hidden="1" customHeight="1" outlineLevel="1">
      <c r="A652" s="12"/>
      <c r="B652" s="19"/>
      <c r="C652" s="19"/>
      <c r="D652" s="19"/>
      <c r="E652" s="18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14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20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  <c r="BB652" s="19"/>
      <c r="BC652" s="18"/>
      <c r="BD652" s="18"/>
      <c r="BE652" s="18"/>
      <c r="BF652" s="18"/>
      <c r="BG652" s="18"/>
      <c r="BH652" s="18"/>
      <c r="BI652" s="18"/>
      <c r="BJ652" s="18"/>
      <c r="BK652" s="18"/>
      <c r="BL652" s="18"/>
      <c r="BM652" s="18"/>
      <c r="BN652" s="18"/>
      <c r="BO652" s="18"/>
      <c r="BP652" s="18"/>
    </row>
    <row r="653" spans="1:68" ht="14.25" hidden="1" customHeight="1" outlineLevel="1">
      <c r="A653" s="12"/>
      <c r="B653" s="19"/>
      <c r="C653" s="19"/>
      <c r="D653" s="19"/>
      <c r="E653" s="18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14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20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9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</row>
    <row r="654" spans="1:68" ht="14.25" hidden="1" customHeight="1" outlineLevel="1">
      <c r="A654" s="12"/>
      <c r="B654" s="19"/>
      <c r="C654" s="19"/>
      <c r="D654" s="19"/>
      <c r="E654" s="18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14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20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9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</row>
    <row r="655" spans="1:68" ht="14.25" hidden="1" customHeight="1" outlineLevel="1">
      <c r="A655" s="12"/>
      <c r="B655" s="19"/>
      <c r="C655" s="19"/>
      <c r="D655" s="19"/>
      <c r="E655" s="18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14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20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9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</row>
    <row r="656" spans="1:68" ht="14.25" hidden="1" customHeight="1" outlineLevel="1">
      <c r="A656" s="12"/>
      <c r="B656" s="19"/>
      <c r="C656" s="19"/>
      <c r="D656" s="19"/>
      <c r="E656" s="18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14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20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9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</row>
    <row r="657" spans="1:68" ht="14.25" hidden="1" customHeight="1" outlineLevel="1">
      <c r="A657" s="12"/>
      <c r="B657" s="19"/>
      <c r="C657" s="19"/>
      <c r="D657" s="19"/>
      <c r="E657" s="18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14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20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9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</row>
    <row r="658" spans="1:68" ht="14.25" customHeight="1" collapsed="1">
      <c r="A658" s="12">
        <v>1</v>
      </c>
      <c r="B658" s="14">
        <v>370</v>
      </c>
      <c r="C658" s="13" t="s">
        <v>30</v>
      </c>
      <c r="D658" s="13" t="s">
        <v>109</v>
      </c>
      <c r="E658" s="13" t="s">
        <v>1962</v>
      </c>
      <c r="F658" s="11">
        <v>-25.5</v>
      </c>
      <c r="G658" s="11">
        <v>-18.5</v>
      </c>
      <c r="H658" s="11">
        <v>-8.5</v>
      </c>
      <c r="I658" s="11">
        <v>2.9</v>
      </c>
      <c r="J658" s="11">
        <v>10.5</v>
      </c>
      <c r="K658" s="11">
        <v>17.3</v>
      </c>
      <c r="L658" s="11">
        <v>19.5</v>
      </c>
      <c r="M658" s="11">
        <v>16.399999999999999</v>
      </c>
      <c r="N658" s="11">
        <v>9.9</v>
      </c>
      <c r="O658" s="11">
        <v>1.6</v>
      </c>
      <c r="P658" s="11">
        <v>-9.5</v>
      </c>
      <c r="Q658" s="11">
        <v>-17.899999999999999</v>
      </c>
      <c r="R658" s="10">
        <v>0.3</v>
      </c>
      <c r="S658" s="12">
        <v>370</v>
      </c>
      <c r="T658" s="8" t="s">
        <v>1964</v>
      </c>
      <c r="U658" s="11">
        <v>-44</v>
      </c>
      <c r="V658" s="11">
        <v>-42</v>
      </c>
      <c r="W658" s="11">
        <v>-41</v>
      </c>
      <c r="X658" s="11">
        <v>-40</v>
      </c>
      <c r="Y658" s="11">
        <v>-25</v>
      </c>
      <c r="Z658" s="11">
        <v>-47</v>
      </c>
      <c r="AA658" s="11">
        <v>10.8</v>
      </c>
      <c r="AB658" s="11">
        <v>165</v>
      </c>
      <c r="AC658" s="11">
        <v>-14.7</v>
      </c>
      <c r="AD658" s="11">
        <v>225</v>
      </c>
      <c r="AE658" s="11">
        <v>-9.6999999999999993</v>
      </c>
      <c r="AF658" s="11">
        <v>242</v>
      </c>
      <c r="AG658" s="11">
        <v>-8.4</v>
      </c>
      <c r="AH658" s="11">
        <v>79</v>
      </c>
      <c r="AI658" s="11">
        <v>75</v>
      </c>
      <c r="AJ658" s="11">
        <v>40</v>
      </c>
      <c r="AK658" s="11" t="s">
        <v>44</v>
      </c>
      <c r="AL658" s="11" t="s">
        <v>44</v>
      </c>
      <c r="AM658" s="10">
        <v>2.8</v>
      </c>
      <c r="AN658" s="9">
        <v>370</v>
      </c>
      <c r="AO658" s="8" t="s">
        <v>1963</v>
      </c>
      <c r="AP658" s="8">
        <v>980</v>
      </c>
      <c r="AQ658" s="8">
        <v>23.8</v>
      </c>
      <c r="AR658" s="8">
        <v>28.1</v>
      </c>
      <c r="AS658" s="8">
        <v>26.2</v>
      </c>
      <c r="AT658" s="8">
        <v>38</v>
      </c>
      <c r="AU658" s="8">
        <v>12.9</v>
      </c>
      <c r="AV658" s="8">
        <v>68</v>
      </c>
      <c r="AW658" s="8">
        <v>51</v>
      </c>
      <c r="AX658" s="8">
        <v>282</v>
      </c>
      <c r="AY658" s="8">
        <v>76</v>
      </c>
      <c r="AZ658" s="8" t="s">
        <v>114</v>
      </c>
      <c r="BA658" s="7" t="s">
        <v>46</v>
      </c>
      <c r="BB658" s="9">
        <v>335</v>
      </c>
      <c r="BC658" s="8" t="s">
        <v>1962</v>
      </c>
      <c r="BD658" s="8">
        <v>1.2</v>
      </c>
      <c r="BE658" s="8">
        <v>1.4</v>
      </c>
      <c r="BF658" s="8">
        <v>2.6</v>
      </c>
      <c r="BG658" s="8">
        <v>4.3</v>
      </c>
      <c r="BH658" s="8">
        <v>6.7</v>
      </c>
      <c r="BI658" s="8">
        <v>11.7</v>
      </c>
      <c r="BJ658" s="8">
        <v>15</v>
      </c>
      <c r="BK658" s="8">
        <v>13.2</v>
      </c>
      <c r="BL658" s="8">
        <v>8.8000000000000007</v>
      </c>
      <c r="BM658" s="8">
        <v>4.9000000000000004</v>
      </c>
      <c r="BN658" s="8">
        <v>2.5</v>
      </c>
      <c r="BO658" s="8">
        <v>1.6</v>
      </c>
      <c r="BP658" s="7">
        <v>6.2</v>
      </c>
    </row>
    <row r="659" spans="1:68" ht="14.25" customHeight="1">
      <c r="A659" s="12">
        <v>2</v>
      </c>
      <c r="B659" s="14">
        <v>169</v>
      </c>
      <c r="C659" s="13" t="s">
        <v>30</v>
      </c>
      <c r="D659" s="13" t="s">
        <v>29</v>
      </c>
      <c r="E659" s="13" t="s">
        <v>1959</v>
      </c>
      <c r="F659" s="11">
        <v>-34.6</v>
      </c>
      <c r="G659" s="11">
        <v>-33.1</v>
      </c>
      <c r="H659" s="11">
        <v>-23.1</v>
      </c>
      <c r="I659" s="11">
        <v>-11.4</v>
      </c>
      <c r="J659" s="11">
        <v>-1.6</v>
      </c>
      <c r="K659" s="11">
        <v>7.7</v>
      </c>
      <c r="L659" s="11">
        <v>13.7</v>
      </c>
      <c r="M659" s="11">
        <v>10.6</v>
      </c>
      <c r="N659" s="11">
        <v>3.9</v>
      </c>
      <c r="O659" s="11">
        <v>-7.2</v>
      </c>
      <c r="P659" s="11">
        <v>-24.9</v>
      </c>
      <c r="Q659" s="11">
        <v>-31.9</v>
      </c>
      <c r="R659" s="10">
        <v>-11</v>
      </c>
      <c r="S659" s="12">
        <v>169</v>
      </c>
      <c r="T659" s="8" t="s">
        <v>1961</v>
      </c>
      <c r="U659" s="11">
        <v>-57</v>
      </c>
      <c r="V659" s="11">
        <v>-55</v>
      </c>
      <c r="W659" s="11">
        <v>-54</v>
      </c>
      <c r="X659" s="11">
        <v>-53</v>
      </c>
      <c r="Y659" s="11">
        <v>-40</v>
      </c>
      <c r="Z659" s="11">
        <v>-59</v>
      </c>
      <c r="AA659" s="11">
        <v>11.9</v>
      </c>
      <c r="AB659" s="11">
        <v>237</v>
      </c>
      <c r="AC659" s="11">
        <v>-21.1</v>
      </c>
      <c r="AD659" s="11">
        <v>293</v>
      </c>
      <c r="AE659" s="11">
        <v>-16.3</v>
      </c>
      <c r="AF659" s="11">
        <v>312</v>
      </c>
      <c r="AG659" s="11">
        <v>-14.7</v>
      </c>
      <c r="AH659" s="11">
        <v>75</v>
      </c>
      <c r="AI659" s="11">
        <v>75</v>
      </c>
      <c r="AJ659" s="11">
        <v>130</v>
      </c>
      <c r="AK659" s="11" t="s">
        <v>199</v>
      </c>
      <c r="AL659" s="11" t="s">
        <v>44</v>
      </c>
      <c r="AM659" s="10">
        <v>2</v>
      </c>
      <c r="AN659" s="9">
        <v>169</v>
      </c>
      <c r="AO659" s="8" t="s">
        <v>1960</v>
      </c>
      <c r="AP659" s="8">
        <v>975</v>
      </c>
      <c r="AQ659" s="8">
        <v>18</v>
      </c>
      <c r="AR659" s="8">
        <v>22.4</v>
      </c>
      <c r="AS659" s="8">
        <v>20.399999999999999</v>
      </c>
      <c r="AT659" s="8">
        <v>33</v>
      </c>
      <c r="AU659" s="8">
        <v>13.4</v>
      </c>
      <c r="AV659" s="8">
        <v>70</v>
      </c>
      <c r="AW659" s="8">
        <v>58</v>
      </c>
      <c r="AX659" s="8">
        <v>360</v>
      </c>
      <c r="AY659" s="8">
        <v>48</v>
      </c>
      <c r="AZ659" s="8" t="s">
        <v>37</v>
      </c>
      <c r="BA659" s="7" t="s">
        <v>46</v>
      </c>
      <c r="BB659" s="9">
        <v>148</v>
      </c>
      <c r="BC659" s="8" t="s">
        <v>1959</v>
      </c>
      <c r="BD659" s="8">
        <v>0.4</v>
      </c>
      <c r="BE659" s="8">
        <v>0.5</v>
      </c>
      <c r="BF659" s="8">
        <v>1</v>
      </c>
      <c r="BG659" s="8">
        <v>2.1</v>
      </c>
      <c r="BH659" s="8">
        <v>3.8</v>
      </c>
      <c r="BI659" s="8">
        <v>7</v>
      </c>
      <c r="BJ659" s="8">
        <v>10.9</v>
      </c>
      <c r="BK659" s="8">
        <v>9.9</v>
      </c>
      <c r="BL659" s="8">
        <v>6.5</v>
      </c>
      <c r="BM659" s="8">
        <v>3.2</v>
      </c>
      <c r="BN659" s="8">
        <v>1</v>
      </c>
      <c r="BO659" s="8">
        <v>0.5</v>
      </c>
      <c r="BP659" s="7">
        <v>3.9</v>
      </c>
    </row>
    <row r="660" spans="1:68" ht="14.25" customHeight="1">
      <c r="A660" s="12">
        <v>3</v>
      </c>
      <c r="B660" s="14">
        <v>255</v>
      </c>
      <c r="C660" s="13" t="s">
        <v>30</v>
      </c>
      <c r="D660" s="13" t="s">
        <v>154</v>
      </c>
      <c r="E660" s="13" t="s">
        <v>1956</v>
      </c>
      <c r="F660" s="11">
        <v>-20.3</v>
      </c>
      <c r="G660" s="11">
        <v>-15.8</v>
      </c>
      <c r="H660" s="11">
        <v>-7.1</v>
      </c>
      <c r="I660" s="11">
        <v>2.1</v>
      </c>
      <c r="J660" s="11">
        <v>8.3000000000000007</v>
      </c>
      <c r="K660" s="11">
        <v>13.3</v>
      </c>
      <c r="L660" s="11">
        <v>17.3</v>
      </c>
      <c r="M660" s="11">
        <v>17.2</v>
      </c>
      <c r="N660" s="11">
        <v>11.1</v>
      </c>
      <c r="O660" s="11">
        <v>2.9</v>
      </c>
      <c r="P660" s="11">
        <v>-8.4</v>
      </c>
      <c r="Q660" s="11">
        <v>-18</v>
      </c>
      <c r="R660" s="10">
        <v>0.2</v>
      </c>
      <c r="S660" s="12">
        <v>255</v>
      </c>
      <c r="T660" s="8" t="s">
        <v>1958</v>
      </c>
      <c r="U660" s="11">
        <v>-34</v>
      </c>
      <c r="V660" s="11">
        <v>-32</v>
      </c>
      <c r="W660" s="11">
        <v>-30</v>
      </c>
      <c r="X660" s="11">
        <v>-28</v>
      </c>
      <c r="Y660" s="11">
        <v>-16</v>
      </c>
      <c r="Z660" s="11">
        <v>-43</v>
      </c>
      <c r="AA660" s="11">
        <v>16.100000000000001</v>
      </c>
      <c r="AB660" s="11">
        <v>165</v>
      </c>
      <c r="AC660" s="11">
        <v>-12.8</v>
      </c>
      <c r="AD660" s="11">
        <v>231</v>
      </c>
      <c r="AE660" s="11">
        <v>-7.9</v>
      </c>
      <c r="AF660" s="11">
        <v>249</v>
      </c>
      <c r="AG660" s="11">
        <v>-6.6</v>
      </c>
      <c r="AH660" s="11">
        <v>69</v>
      </c>
      <c r="AI660" s="11">
        <v>64</v>
      </c>
      <c r="AJ660" s="11">
        <v>116</v>
      </c>
      <c r="AK660" s="11" t="s">
        <v>75</v>
      </c>
      <c r="AL660" s="11" t="s">
        <v>44</v>
      </c>
      <c r="AM660" s="10">
        <v>1.4</v>
      </c>
      <c r="AN660" s="9">
        <v>255</v>
      </c>
      <c r="AO660" s="8" t="s">
        <v>1957</v>
      </c>
      <c r="AP660" s="8">
        <v>1010</v>
      </c>
      <c r="AQ660" s="8">
        <v>22</v>
      </c>
      <c r="AR660" s="8">
        <v>27</v>
      </c>
      <c r="AS660" s="8">
        <v>24.9</v>
      </c>
      <c r="AT660" s="8">
        <v>37</v>
      </c>
      <c r="AU660" s="8">
        <v>13.2</v>
      </c>
      <c r="AV660" s="8">
        <v>81</v>
      </c>
      <c r="AW660" s="8">
        <v>71</v>
      </c>
      <c r="AX660" s="8">
        <v>527</v>
      </c>
      <c r="AY660" s="8">
        <v>105</v>
      </c>
      <c r="AZ660" s="8" t="s">
        <v>25</v>
      </c>
      <c r="BA660" s="7" t="s">
        <v>46</v>
      </c>
      <c r="BB660" s="9">
        <v>226</v>
      </c>
      <c r="BC660" s="8" t="s">
        <v>1956</v>
      </c>
      <c r="BD660" s="8">
        <v>0.9</v>
      </c>
      <c r="BE660" s="8">
        <v>1.3</v>
      </c>
      <c r="BF660" s="8">
        <v>2.2999999999999998</v>
      </c>
      <c r="BG660" s="8">
        <v>4.3</v>
      </c>
      <c r="BH660" s="8">
        <v>6.9</v>
      </c>
      <c r="BI660" s="8">
        <v>11.4</v>
      </c>
      <c r="BJ660" s="8">
        <v>15.9</v>
      </c>
      <c r="BK660" s="8">
        <v>16.100000000000001</v>
      </c>
      <c r="BL660" s="8">
        <v>10.6</v>
      </c>
      <c r="BM660" s="8">
        <v>5.2</v>
      </c>
      <c r="BN660" s="8">
        <v>2.2999999999999998</v>
      </c>
      <c r="BO660" s="8">
        <v>1.1000000000000001</v>
      </c>
      <c r="BP660" s="7">
        <v>6.5</v>
      </c>
    </row>
    <row r="661" spans="1:68" ht="14.25" customHeight="1">
      <c r="A661" s="12">
        <v>4</v>
      </c>
      <c r="B661" s="14">
        <v>376</v>
      </c>
      <c r="C661" s="13" t="s">
        <v>30</v>
      </c>
      <c r="D661" s="13" t="s">
        <v>162</v>
      </c>
      <c r="E661" s="13" t="s">
        <v>1953</v>
      </c>
      <c r="F661" s="11">
        <v>-23.3</v>
      </c>
      <c r="G661" s="11">
        <v>-20.399999999999999</v>
      </c>
      <c r="H661" s="11">
        <v>-11.5</v>
      </c>
      <c r="I661" s="11">
        <v>0.4</v>
      </c>
      <c r="J661" s="11">
        <v>8.8000000000000007</v>
      </c>
      <c r="K661" s="11">
        <v>15.6</v>
      </c>
      <c r="L661" s="11">
        <v>18.399999999999999</v>
      </c>
      <c r="M661" s="11">
        <v>15.5</v>
      </c>
      <c r="N661" s="11">
        <v>8.4</v>
      </c>
      <c r="O661" s="11">
        <v>-0.6</v>
      </c>
      <c r="P661" s="11">
        <v>-13</v>
      </c>
      <c r="Q661" s="11">
        <v>-21.3</v>
      </c>
      <c r="R661" s="10">
        <v>-1.9</v>
      </c>
      <c r="S661" s="12">
        <v>376</v>
      </c>
      <c r="T661" s="8" t="s">
        <v>1955</v>
      </c>
      <c r="U661" s="11">
        <v>-42</v>
      </c>
      <c r="V661" s="11">
        <v>-38</v>
      </c>
      <c r="W661" s="11">
        <v>-40</v>
      </c>
      <c r="X661" s="11">
        <v>-36</v>
      </c>
      <c r="Y661" s="11">
        <v>-28</v>
      </c>
      <c r="Z661" s="11">
        <v>-48</v>
      </c>
      <c r="AA661" s="11">
        <v>13.9</v>
      </c>
      <c r="AB661" s="11">
        <v>182</v>
      </c>
      <c r="AC661" s="11">
        <v>-14.8</v>
      </c>
      <c r="AD661" s="11">
        <v>238</v>
      </c>
      <c r="AE661" s="11">
        <v>-10.4</v>
      </c>
      <c r="AF661" s="11">
        <v>255</v>
      </c>
      <c r="AG661" s="11">
        <v>-9.1</v>
      </c>
      <c r="AH661" s="11">
        <v>72</v>
      </c>
      <c r="AI661" s="11">
        <v>67</v>
      </c>
      <c r="AJ661" s="11">
        <v>19</v>
      </c>
      <c r="AK661" s="11" t="s">
        <v>48</v>
      </c>
      <c r="AL661" s="11" t="s">
        <v>44</v>
      </c>
      <c r="AM661" s="10">
        <v>2.9</v>
      </c>
      <c r="AN661" s="9">
        <v>376</v>
      </c>
      <c r="AO661" s="8" t="s">
        <v>1954</v>
      </c>
      <c r="AP661" s="8">
        <v>930</v>
      </c>
      <c r="AQ661" s="8">
        <v>22.9</v>
      </c>
      <c r="AR661" s="8">
        <v>27</v>
      </c>
      <c r="AS661" s="8">
        <v>25.3</v>
      </c>
      <c r="AT661" s="8">
        <v>37</v>
      </c>
      <c r="AU661" s="8">
        <v>13.6</v>
      </c>
      <c r="AV661" s="8">
        <v>71</v>
      </c>
      <c r="AW661" s="8">
        <v>55</v>
      </c>
      <c r="AX661" s="8">
        <v>322</v>
      </c>
      <c r="AY661" s="8">
        <v>78</v>
      </c>
      <c r="AZ661" s="8" t="s">
        <v>43</v>
      </c>
      <c r="BA661" s="7" t="s">
        <v>46</v>
      </c>
      <c r="BB661" s="9">
        <v>341</v>
      </c>
      <c r="BC661" s="8" t="s">
        <v>1953</v>
      </c>
      <c r="BD661" s="8">
        <v>0.8</v>
      </c>
      <c r="BE661" s="8">
        <v>0.9</v>
      </c>
      <c r="BF661" s="8">
        <v>1.7</v>
      </c>
      <c r="BG661" s="8">
        <v>3.1</v>
      </c>
      <c r="BH661" s="8">
        <v>5.2</v>
      </c>
      <c r="BI661" s="8">
        <v>10.199999999999999</v>
      </c>
      <c r="BJ661" s="8">
        <v>14.6</v>
      </c>
      <c r="BK661" s="8">
        <v>12.7</v>
      </c>
      <c r="BL661" s="8">
        <v>7.4</v>
      </c>
      <c r="BM661" s="8">
        <v>3.8</v>
      </c>
      <c r="BN661" s="8">
        <v>1.7</v>
      </c>
      <c r="BO661" s="8">
        <v>0.9</v>
      </c>
      <c r="BP661" s="7">
        <v>5.3</v>
      </c>
    </row>
    <row r="662" spans="1:68" ht="14.25" customHeight="1">
      <c r="A662" s="12">
        <v>5</v>
      </c>
      <c r="B662" s="14">
        <v>649</v>
      </c>
      <c r="C662" s="13" t="s">
        <v>52</v>
      </c>
      <c r="D662" s="13" t="s">
        <v>51</v>
      </c>
      <c r="E662" s="13" t="s">
        <v>1951</v>
      </c>
      <c r="F662" s="11">
        <v>-3.6</v>
      </c>
      <c r="G662" s="11">
        <v>-3.1</v>
      </c>
      <c r="H662" s="11">
        <v>-0.6</v>
      </c>
      <c r="I662" s="11">
        <v>4.9000000000000004</v>
      </c>
      <c r="J662" s="11">
        <v>9.5</v>
      </c>
      <c r="K662" s="11">
        <v>12.9</v>
      </c>
      <c r="L662" s="11">
        <v>15.1</v>
      </c>
      <c r="M662" s="11">
        <v>14.7</v>
      </c>
      <c r="N662" s="11">
        <v>10.9</v>
      </c>
      <c r="O662" s="11">
        <v>6.5</v>
      </c>
      <c r="P662" s="11">
        <v>2.6</v>
      </c>
      <c r="Q662" s="11">
        <v>-1.5</v>
      </c>
      <c r="R662" s="10">
        <v>5.7</v>
      </c>
      <c r="S662" s="12">
        <v>638</v>
      </c>
      <c r="T662" s="8" t="s">
        <v>1951</v>
      </c>
      <c r="U662" s="11">
        <v>-24</v>
      </c>
      <c r="V662" s="11">
        <v>-22</v>
      </c>
      <c r="W662" s="11">
        <v>-20</v>
      </c>
      <c r="X662" s="11">
        <v>-18</v>
      </c>
      <c r="Y662" s="11">
        <v>-6</v>
      </c>
      <c r="Z662" s="11">
        <v>-27</v>
      </c>
      <c r="AA662" s="11" t="s">
        <v>49</v>
      </c>
      <c r="AB662" s="11">
        <v>105</v>
      </c>
      <c r="AC662" s="11">
        <v>-2.6</v>
      </c>
      <c r="AD662" s="11">
        <v>209</v>
      </c>
      <c r="AE662" s="11">
        <v>0.7</v>
      </c>
      <c r="AF662" s="11">
        <v>237</v>
      </c>
      <c r="AG662" s="11">
        <v>1.7</v>
      </c>
      <c r="AH662" s="11" t="s">
        <v>49</v>
      </c>
      <c r="AI662" s="11" t="s">
        <v>49</v>
      </c>
      <c r="AJ662" s="11">
        <v>638</v>
      </c>
      <c r="AK662" s="11" t="s">
        <v>75</v>
      </c>
      <c r="AL662" s="11" t="s">
        <v>44</v>
      </c>
      <c r="AM662" s="10" t="s">
        <v>44</v>
      </c>
      <c r="AN662" s="9">
        <v>639</v>
      </c>
      <c r="AO662" s="8" t="s">
        <v>1952</v>
      </c>
      <c r="AP662" s="8">
        <v>880</v>
      </c>
      <c r="AQ662" s="8">
        <v>23</v>
      </c>
      <c r="AR662" s="8">
        <v>19</v>
      </c>
      <c r="AS662" s="8">
        <v>20.399999999999999</v>
      </c>
      <c r="AT662" s="8">
        <v>30</v>
      </c>
      <c r="AU662" s="8" t="s">
        <v>46</v>
      </c>
      <c r="AV662" s="8" t="s">
        <v>45</v>
      </c>
      <c r="AW662" s="8" t="s">
        <v>44</v>
      </c>
      <c r="AX662" s="8" t="s">
        <v>44</v>
      </c>
      <c r="AY662" s="8">
        <v>215</v>
      </c>
      <c r="AZ662" s="8" t="s">
        <v>54</v>
      </c>
      <c r="BA662" s="7">
        <v>3.3</v>
      </c>
      <c r="BB662" s="9"/>
      <c r="BC662" s="8" t="s">
        <v>1951</v>
      </c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7"/>
    </row>
    <row r="663" spans="1:68" ht="14.25" customHeight="1">
      <c r="A663" s="12">
        <v>6</v>
      </c>
      <c r="B663" s="14">
        <v>498</v>
      </c>
      <c r="C663" s="13" t="s">
        <v>121</v>
      </c>
      <c r="D663" s="13" t="s">
        <v>200</v>
      </c>
      <c r="E663" s="13" t="s">
        <v>1949</v>
      </c>
      <c r="F663" s="11">
        <v>-14.9</v>
      </c>
      <c r="G663" s="11">
        <v>-14.4</v>
      </c>
      <c r="H663" s="11">
        <v>-7.3</v>
      </c>
      <c r="I663" s="11">
        <v>5.9</v>
      </c>
      <c r="J663" s="11">
        <v>15</v>
      </c>
      <c r="K663" s="11">
        <v>20.2</v>
      </c>
      <c r="L663" s="11">
        <v>22.5</v>
      </c>
      <c r="M663" s="11">
        <v>20.399999999999999</v>
      </c>
      <c r="N663" s="11">
        <v>13.7</v>
      </c>
      <c r="O663" s="11">
        <v>4.5999999999999996</v>
      </c>
      <c r="P663" s="11">
        <v>-3.9</v>
      </c>
      <c r="Q663" s="11">
        <v>-11.3</v>
      </c>
      <c r="R663" s="10">
        <v>4.2</v>
      </c>
      <c r="S663" s="12">
        <v>498</v>
      </c>
      <c r="T663" s="8" t="s">
        <v>1949</v>
      </c>
      <c r="U663" s="11">
        <v>-38</v>
      </c>
      <c r="V663" s="11">
        <v>-36</v>
      </c>
      <c r="W663" s="11">
        <v>-33</v>
      </c>
      <c r="X663" s="11">
        <v>-31</v>
      </c>
      <c r="Y663" s="11">
        <v>-22</v>
      </c>
      <c r="Z663" s="11">
        <v>-48</v>
      </c>
      <c r="AA663" s="11">
        <v>8.9</v>
      </c>
      <c r="AB663" s="11">
        <v>154</v>
      </c>
      <c r="AC663" s="11">
        <v>-10.1</v>
      </c>
      <c r="AD663" s="11">
        <v>200</v>
      </c>
      <c r="AE663" s="11">
        <v>-6.8</v>
      </c>
      <c r="AF663" s="11">
        <v>212</v>
      </c>
      <c r="AG663" s="11">
        <v>-5.9</v>
      </c>
      <c r="AH663" s="11">
        <v>80</v>
      </c>
      <c r="AI663" s="11" t="s">
        <v>49</v>
      </c>
      <c r="AJ663" s="11">
        <v>87</v>
      </c>
      <c r="AK663" s="11" t="s">
        <v>34</v>
      </c>
      <c r="AL663" s="11">
        <v>6.1</v>
      </c>
      <c r="AM663" s="10">
        <v>4.3</v>
      </c>
      <c r="AN663" s="9">
        <v>498</v>
      </c>
      <c r="AO663" s="8" t="s">
        <v>1950</v>
      </c>
      <c r="AP663" s="8" t="s">
        <v>64</v>
      </c>
      <c r="AQ663" s="8">
        <v>27.3</v>
      </c>
      <c r="AR663" s="8">
        <v>31.7</v>
      </c>
      <c r="AS663" s="8">
        <v>29.2</v>
      </c>
      <c r="AT663" s="8">
        <v>42</v>
      </c>
      <c r="AU663" s="8">
        <v>13.9</v>
      </c>
      <c r="AV663" s="8">
        <v>51</v>
      </c>
      <c r="AW663" s="8" t="s">
        <v>44</v>
      </c>
      <c r="AX663" s="8">
        <v>192</v>
      </c>
      <c r="AY663" s="8" t="s">
        <v>64</v>
      </c>
      <c r="AZ663" s="8" t="s">
        <v>54</v>
      </c>
      <c r="BA663" s="7">
        <v>2.6</v>
      </c>
      <c r="BB663" s="9"/>
      <c r="BC663" s="8" t="s">
        <v>1949</v>
      </c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7"/>
    </row>
    <row r="664" spans="1:68" ht="14.25" customHeight="1">
      <c r="A664" s="12">
        <v>7</v>
      </c>
      <c r="B664" s="14">
        <v>377</v>
      </c>
      <c r="C664" s="13" t="s">
        <v>30</v>
      </c>
      <c r="D664" s="13" t="s">
        <v>162</v>
      </c>
      <c r="E664" s="13" t="s">
        <v>1946</v>
      </c>
      <c r="F664" s="11">
        <v>-22.6</v>
      </c>
      <c r="G664" s="11">
        <v>-19.100000000000001</v>
      </c>
      <c r="H664" s="11">
        <v>-9.4</v>
      </c>
      <c r="I664" s="11">
        <v>1</v>
      </c>
      <c r="J664" s="11">
        <v>9</v>
      </c>
      <c r="K664" s="11">
        <v>15.4</v>
      </c>
      <c r="L664" s="11">
        <v>18.100000000000001</v>
      </c>
      <c r="M664" s="11">
        <v>15.5</v>
      </c>
      <c r="N664" s="11">
        <v>8.4</v>
      </c>
      <c r="O664" s="11">
        <v>-0.1</v>
      </c>
      <c r="P664" s="11">
        <v>-12.1</v>
      </c>
      <c r="Q664" s="11">
        <v>-20.3</v>
      </c>
      <c r="R664" s="10">
        <v>-1.4</v>
      </c>
      <c r="S664" s="12">
        <v>377</v>
      </c>
      <c r="T664" s="8" t="s">
        <v>1948</v>
      </c>
      <c r="U664" s="11">
        <v>-41</v>
      </c>
      <c r="V664" s="11">
        <v>-38</v>
      </c>
      <c r="W664" s="11">
        <v>-36</v>
      </c>
      <c r="X664" s="11">
        <v>-34</v>
      </c>
      <c r="Y664" s="11">
        <v>-28</v>
      </c>
      <c r="Z664" s="11">
        <v>-47</v>
      </c>
      <c r="AA664" s="11">
        <v>14.7</v>
      </c>
      <c r="AB664" s="11">
        <v>179</v>
      </c>
      <c r="AC664" s="11">
        <v>-14</v>
      </c>
      <c r="AD664" s="11">
        <v>237</v>
      </c>
      <c r="AE664" s="11">
        <v>-9.6</v>
      </c>
      <c r="AF664" s="11">
        <v>254</v>
      </c>
      <c r="AG664" s="11">
        <v>-8.3000000000000007</v>
      </c>
      <c r="AH664" s="11">
        <v>73</v>
      </c>
      <c r="AI664" s="11">
        <v>65</v>
      </c>
      <c r="AJ664" s="11">
        <v>21</v>
      </c>
      <c r="AK664" s="11" t="s">
        <v>75</v>
      </c>
      <c r="AL664" s="11">
        <v>5.2</v>
      </c>
      <c r="AM664" s="10">
        <v>2.2000000000000002</v>
      </c>
      <c r="AN664" s="9">
        <v>377</v>
      </c>
      <c r="AO664" s="8" t="s">
        <v>1947</v>
      </c>
      <c r="AP664" s="8">
        <v>930</v>
      </c>
      <c r="AQ664" s="8">
        <v>23.2</v>
      </c>
      <c r="AR664" s="8">
        <v>27.3</v>
      </c>
      <c r="AS664" s="8">
        <v>25.6</v>
      </c>
      <c r="AT664" s="8">
        <v>39</v>
      </c>
      <c r="AU664" s="8">
        <v>14.1</v>
      </c>
      <c r="AV664" s="8">
        <v>72</v>
      </c>
      <c r="AW664" s="8">
        <v>55</v>
      </c>
      <c r="AX664" s="8">
        <v>356</v>
      </c>
      <c r="AY664" s="8">
        <v>66</v>
      </c>
      <c r="AZ664" s="8" t="s">
        <v>54</v>
      </c>
      <c r="BA664" s="7">
        <v>0</v>
      </c>
      <c r="BB664" s="9">
        <v>342</v>
      </c>
      <c r="BC664" s="8" t="s">
        <v>1946</v>
      </c>
      <c r="BD664" s="8">
        <v>0.8</v>
      </c>
      <c r="BE664" s="8">
        <v>1</v>
      </c>
      <c r="BF664" s="8">
        <v>1.8</v>
      </c>
      <c r="BG664" s="8">
        <v>3.1</v>
      </c>
      <c r="BH664" s="8">
        <v>5.2</v>
      </c>
      <c r="BI664" s="8">
        <v>10.3</v>
      </c>
      <c r="BJ664" s="8">
        <v>14.5</v>
      </c>
      <c r="BK664" s="8">
        <v>12.9</v>
      </c>
      <c r="BL664" s="8">
        <v>7.4</v>
      </c>
      <c r="BM664" s="8">
        <v>3.8</v>
      </c>
      <c r="BN664" s="8">
        <v>1.8</v>
      </c>
      <c r="BO664" s="8">
        <v>1.1000000000000001</v>
      </c>
      <c r="BP664" s="7">
        <v>5.3</v>
      </c>
    </row>
    <row r="665" spans="1:68" ht="14.25" customHeight="1">
      <c r="A665" s="12">
        <v>8</v>
      </c>
      <c r="B665" s="14">
        <v>400</v>
      </c>
      <c r="C665" s="13" t="s">
        <v>30</v>
      </c>
      <c r="D665" s="13" t="s">
        <v>57</v>
      </c>
      <c r="E665" s="13" t="s">
        <v>1944</v>
      </c>
      <c r="F665" s="11">
        <v>-27.5</v>
      </c>
      <c r="G665" s="11">
        <v>-25.2</v>
      </c>
      <c r="H665" s="11">
        <v>-16.399999999999999</v>
      </c>
      <c r="I665" s="11">
        <v>-5.6</v>
      </c>
      <c r="J665" s="11">
        <v>3.9</v>
      </c>
      <c r="K665" s="11">
        <v>13</v>
      </c>
      <c r="L665" s="11">
        <v>16.7</v>
      </c>
      <c r="M665" s="11">
        <v>13.4</v>
      </c>
      <c r="N665" s="11">
        <v>5.2</v>
      </c>
      <c r="O665" s="11">
        <v>-6.3</v>
      </c>
      <c r="P665" s="11">
        <v>-19.7</v>
      </c>
      <c r="Q665" s="11">
        <v>-26.5</v>
      </c>
      <c r="R665" s="10">
        <v>-6.3</v>
      </c>
      <c r="S665" s="12">
        <v>400</v>
      </c>
      <c r="T665" s="8" t="s">
        <v>1944</v>
      </c>
      <c r="U665" s="11">
        <v>-48</v>
      </c>
      <c r="V665" s="11">
        <v>-44</v>
      </c>
      <c r="W665" s="11">
        <v>-44</v>
      </c>
      <c r="X665" s="11">
        <v>-42</v>
      </c>
      <c r="Y665" s="11">
        <v>-33</v>
      </c>
      <c r="Z665" s="11">
        <v>-51</v>
      </c>
      <c r="AA665" s="11">
        <v>8</v>
      </c>
      <c r="AB665" s="11">
        <v>216</v>
      </c>
      <c r="AC665" s="11">
        <v>-17.399999999999999</v>
      </c>
      <c r="AD665" s="11">
        <v>267</v>
      </c>
      <c r="AE665" s="11">
        <v>-13.3</v>
      </c>
      <c r="AF665" s="11">
        <v>281</v>
      </c>
      <c r="AG665" s="11">
        <v>-12.2</v>
      </c>
      <c r="AH665" s="11">
        <v>78</v>
      </c>
      <c r="AI665" s="11">
        <v>78</v>
      </c>
      <c r="AJ665" s="11">
        <v>121</v>
      </c>
      <c r="AK665" s="11" t="s">
        <v>39</v>
      </c>
      <c r="AL665" s="11">
        <v>4.0999999999999996</v>
      </c>
      <c r="AM665" s="10">
        <v>2.8</v>
      </c>
      <c r="AN665" s="9">
        <v>400</v>
      </c>
      <c r="AO665" s="8" t="s">
        <v>1945</v>
      </c>
      <c r="AP665" s="8">
        <v>925</v>
      </c>
      <c r="AQ665" s="8">
        <v>19.7</v>
      </c>
      <c r="AR665" s="8">
        <v>24.2</v>
      </c>
      <c r="AS665" s="8">
        <v>22.6</v>
      </c>
      <c r="AT665" s="8">
        <v>35</v>
      </c>
      <c r="AU665" s="8">
        <v>11.5</v>
      </c>
      <c r="AV665" s="8">
        <v>67</v>
      </c>
      <c r="AW665" s="8">
        <v>66</v>
      </c>
      <c r="AX665" s="8">
        <v>503</v>
      </c>
      <c r="AY665" s="8">
        <v>75</v>
      </c>
      <c r="AZ665" s="8" t="s">
        <v>151</v>
      </c>
      <c r="BA665" s="7">
        <v>0</v>
      </c>
      <c r="BB665" s="9">
        <v>364</v>
      </c>
      <c r="BC665" s="8" t="s">
        <v>1944</v>
      </c>
      <c r="BD665" s="8">
        <v>0.6</v>
      </c>
      <c r="BE665" s="8">
        <v>0.7</v>
      </c>
      <c r="BF665" s="8">
        <v>1.4</v>
      </c>
      <c r="BG665" s="8">
        <v>2.7</v>
      </c>
      <c r="BH665" s="8">
        <v>5</v>
      </c>
      <c r="BI665" s="8">
        <v>9</v>
      </c>
      <c r="BJ665" s="8">
        <v>12.4</v>
      </c>
      <c r="BK665" s="8">
        <v>11.1</v>
      </c>
      <c r="BL665" s="8">
        <v>6.7</v>
      </c>
      <c r="BM665" s="8">
        <v>3.1</v>
      </c>
      <c r="BN665" s="8">
        <v>1.2</v>
      </c>
      <c r="BO665" s="8">
        <v>0.7</v>
      </c>
      <c r="BP665" s="7">
        <v>4.5999999999999996</v>
      </c>
    </row>
    <row r="666" spans="1:68" ht="14.25" customHeight="1">
      <c r="A666" s="12">
        <v>9</v>
      </c>
      <c r="B666" s="14">
        <v>2</v>
      </c>
      <c r="C666" s="13" t="s">
        <v>30</v>
      </c>
      <c r="D666" s="13" t="s">
        <v>438</v>
      </c>
      <c r="E666" s="13" t="s">
        <v>1941</v>
      </c>
      <c r="F666" s="11">
        <v>-17.600000000000001</v>
      </c>
      <c r="G666" s="11">
        <v>-16.3</v>
      </c>
      <c r="H666" s="11">
        <v>-8.6999999999999993</v>
      </c>
      <c r="I666" s="11">
        <v>3.3</v>
      </c>
      <c r="J666" s="11">
        <v>12.2</v>
      </c>
      <c r="K666" s="11">
        <v>18.399999999999999</v>
      </c>
      <c r="L666" s="11">
        <v>20.3</v>
      </c>
      <c r="M666" s="11">
        <v>17.2</v>
      </c>
      <c r="N666" s="11">
        <v>11.3</v>
      </c>
      <c r="O666" s="11">
        <v>3.2</v>
      </c>
      <c r="P666" s="11">
        <v>-7.5</v>
      </c>
      <c r="Q666" s="11">
        <v>-15.1</v>
      </c>
      <c r="R666" s="10">
        <v>1.7</v>
      </c>
      <c r="S666" s="12">
        <v>2</v>
      </c>
      <c r="T666" s="8" t="s">
        <v>1943</v>
      </c>
      <c r="U666" s="11">
        <v>-44</v>
      </c>
      <c r="V666" s="11">
        <v>-42</v>
      </c>
      <c r="W666" s="11">
        <v>-41</v>
      </c>
      <c r="X666" s="11">
        <v>-38</v>
      </c>
      <c r="Y666" s="11">
        <v>-23</v>
      </c>
      <c r="Z666" s="11">
        <v>-46</v>
      </c>
      <c r="AA666" s="11">
        <v>9.5</v>
      </c>
      <c r="AB666" s="11">
        <v>164</v>
      </c>
      <c r="AC666" s="11">
        <v>-11.5</v>
      </c>
      <c r="AD666" s="11">
        <v>216</v>
      </c>
      <c r="AE666" s="11">
        <v>-7.8</v>
      </c>
      <c r="AF666" s="11">
        <v>230</v>
      </c>
      <c r="AG666" s="11">
        <v>-6.7</v>
      </c>
      <c r="AH666" s="11">
        <v>80</v>
      </c>
      <c r="AI666" s="11">
        <v>78</v>
      </c>
      <c r="AJ666" s="11">
        <v>130</v>
      </c>
      <c r="AK666" s="11" t="s">
        <v>39</v>
      </c>
      <c r="AL666" s="11">
        <v>6.8</v>
      </c>
      <c r="AM666" s="10" t="s">
        <v>44</v>
      </c>
      <c r="AN666" s="9">
        <v>2</v>
      </c>
      <c r="AO666" s="8" t="s">
        <v>1942</v>
      </c>
      <c r="AP666" s="8">
        <v>990</v>
      </c>
      <c r="AQ666" s="8">
        <v>24.5</v>
      </c>
      <c r="AR666" s="8">
        <v>28.6</v>
      </c>
      <c r="AS666" s="8">
        <v>26.9</v>
      </c>
      <c r="AT666" s="8">
        <v>41</v>
      </c>
      <c r="AU666" s="8">
        <v>12.9</v>
      </c>
      <c r="AV666" s="8">
        <v>68</v>
      </c>
      <c r="AW666" s="8">
        <v>51</v>
      </c>
      <c r="AX666" s="8">
        <v>314</v>
      </c>
      <c r="AY666" s="8">
        <v>85</v>
      </c>
      <c r="AZ666" s="8" t="s">
        <v>82</v>
      </c>
      <c r="BA666" s="7">
        <v>0</v>
      </c>
      <c r="BB666" s="9">
        <v>2</v>
      </c>
      <c r="BC666" s="8" t="s">
        <v>1941</v>
      </c>
      <c r="BD666" s="8">
        <v>1.6</v>
      </c>
      <c r="BE666" s="8">
        <v>1.8</v>
      </c>
      <c r="BF666" s="8">
        <v>3</v>
      </c>
      <c r="BG666" s="8">
        <v>5.6</v>
      </c>
      <c r="BH666" s="8">
        <v>7.9</v>
      </c>
      <c r="BI666" s="8">
        <v>12.5</v>
      </c>
      <c r="BJ666" s="8">
        <v>15.6</v>
      </c>
      <c r="BK666" s="8">
        <v>13.3</v>
      </c>
      <c r="BL666" s="8">
        <v>9</v>
      </c>
      <c r="BM666" s="8">
        <v>5.7</v>
      </c>
      <c r="BN666" s="8">
        <v>3.3</v>
      </c>
      <c r="BO666" s="8">
        <v>2</v>
      </c>
      <c r="BP666" s="7">
        <v>6.8</v>
      </c>
    </row>
    <row r="667" spans="1:68" ht="14.25" customHeight="1">
      <c r="A667" s="12">
        <v>10</v>
      </c>
      <c r="B667" s="14">
        <v>284</v>
      </c>
      <c r="C667" s="13" t="s">
        <v>30</v>
      </c>
      <c r="D667" s="13" t="s">
        <v>657</v>
      </c>
      <c r="E667" s="13" t="s">
        <v>1938</v>
      </c>
      <c r="F667" s="11">
        <v>-12.7</v>
      </c>
      <c r="G667" s="11">
        <v>-12.1</v>
      </c>
      <c r="H667" s="11">
        <v>-4.9000000000000004</v>
      </c>
      <c r="I667" s="11">
        <v>7.9</v>
      </c>
      <c r="J667" s="11">
        <v>16.3</v>
      </c>
      <c r="K667" s="11">
        <v>21</v>
      </c>
      <c r="L667" s="11">
        <v>23.6</v>
      </c>
      <c r="M667" s="11">
        <v>22</v>
      </c>
      <c r="N667" s="11">
        <v>14.9</v>
      </c>
      <c r="O667" s="11">
        <v>6.1</v>
      </c>
      <c r="P667" s="11">
        <v>-1.7</v>
      </c>
      <c r="Q667" s="11">
        <v>-8.3000000000000007</v>
      </c>
      <c r="R667" s="10">
        <v>6</v>
      </c>
      <c r="S667" s="12">
        <v>284</v>
      </c>
      <c r="T667" s="8" t="s">
        <v>1940</v>
      </c>
      <c r="U667" s="11">
        <v>-31</v>
      </c>
      <c r="V667" s="11">
        <v>-30</v>
      </c>
      <c r="W667" s="11">
        <v>-29</v>
      </c>
      <c r="X667" s="11">
        <v>-28</v>
      </c>
      <c r="Y667" s="11">
        <v>-17</v>
      </c>
      <c r="Z667" s="11">
        <v>-40</v>
      </c>
      <c r="AA667" s="11">
        <v>8.3000000000000007</v>
      </c>
      <c r="AB667" s="11">
        <v>141</v>
      </c>
      <c r="AC667" s="11">
        <v>-8.3000000000000007</v>
      </c>
      <c r="AD667" s="11">
        <v>191</v>
      </c>
      <c r="AE667" s="11">
        <v>-5.2</v>
      </c>
      <c r="AF667" s="11">
        <v>204</v>
      </c>
      <c r="AG667" s="11">
        <v>-4.2</v>
      </c>
      <c r="AH667" s="11">
        <v>82</v>
      </c>
      <c r="AI667" s="11">
        <v>79</v>
      </c>
      <c r="AJ667" s="11">
        <v>127</v>
      </c>
      <c r="AK667" s="11" t="s">
        <v>66</v>
      </c>
      <c r="AL667" s="11" t="s">
        <v>44</v>
      </c>
      <c r="AM667" s="10">
        <v>4.9000000000000004</v>
      </c>
      <c r="AN667" s="9">
        <v>278</v>
      </c>
      <c r="AO667" s="8" t="s">
        <v>1939</v>
      </c>
      <c r="AP667" s="8">
        <v>1015</v>
      </c>
      <c r="AQ667" s="8">
        <v>29</v>
      </c>
      <c r="AR667" s="8">
        <v>33</v>
      </c>
      <c r="AS667" s="8">
        <v>30.6</v>
      </c>
      <c r="AT667" s="8">
        <v>44</v>
      </c>
      <c r="AU667" s="8">
        <v>14.2</v>
      </c>
      <c r="AV667" s="8">
        <v>49</v>
      </c>
      <c r="AW667" s="8">
        <v>34</v>
      </c>
      <c r="AX667" s="8">
        <v>185</v>
      </c>
      <c r="AY667" s="8">
        <v>94</v>
      </c>
      <c r="AZ667" s="8" t="s">
        <v>54</v>
      </c>
      <c r="BA667" s="7" t="s">
        <v>46</v>
      </c>
      <c r="BB667" s="9">
        <v>249</v>
      </c>
      <c r="BC667" s="8" t="s">
        <v>1938</v>
      </c>
      <c r="BD667" s="8">
        <v>2.5</v>
      </c>
      <c r="BE667" s="8">
        <v>2.7</v>
      </c>
      <c r="BF667" s="8">
        <v>4.2</v>
      </c>
      <c r="BG667" s="8">
        <v>7.1</v>
      </c>
      <c r="BH667" s="8">
        <v>9.3000000000000007</v>
      </c>
      <c r="BI667" s="8">
        <v>12</v>
      </c>
      <c r="BJ667" s="8">
        <v>13.4</v>
      </c>
      <c r="BK667" s="8">
        <v>12.2</v>
      </c>
      <c r="BL667" s="8">
        <v>9</v>
      </c>
      <c r="BM667" s="8">
        <v>6.8</v>
      </c>
      <c r="BN667" s="8">
        <v>5.2</v>
      </c>
      <c r="BO667" s="8">
        <v>3.6</v>
      </c>
      <c r="BP667" s="7">
        <v>7.3</v>
      </c>
    </row>
    <row r="668" spans="1:68" ht="14.25" customHeight="1">
      <c r="A668" s="12">
        <v>11</v>
      </c>
      <c r="B668" s="14">
        <v>378</v>
      </c>
      <c r="C668" s="13" t="s">
        <v>30</v>
      </c>
      <c r="D668" s="13" t="s">
        <v>162</v>
      </c>
      <c r="E668" s="13" t="s">
        <v>1935</v>
      </c>
      <c r="F668" s="11">
        <v>-26.8</v>
      </c>
      <c r="G668" s="11">
        <v>-23.5</v>
      </c>
      <c r="H668" s="11">
        <v>-13.9</v>
      </c>
      <c r="I668" s="11">
        <v>-1.4</v>
      </c>
      <c r="J668" s="11">
        <v>7.4</v>
      </c>
      <c r="K668" s="11">
        <v>14.1</v>
      </c>
      <c r="L668" s="11">
        <v>16.7</v>
      </c>
      <c r="M668" s="11">
        <v>14.1</v>
      </c>
      <c r="N668" s="11">
        <v>7</v>
      </c>
      <c r="O668" s="11">
        <v>-2.4</v>
      </c>
      <c r="P668" s="11">
        <v>-15.5</v>
      </c>
      <c r="Q668" s="11">
        <v>-24.6</v>
      </c>
      <c r="R668" s="10">
        <v>-4.0999999999999996</v>
      </c>
      <c r="S668" s="12">
        <v>378</v>
      </c>
      <c r="T668" s="8" t="s">
        <v>1937</v>
      </c>
      <c r="U668" s="11">
        <v>-43</v>
      </c>
      <c r="V668" s="11">
        <v>-41</v>
      </c>
      <c r="W668" s="11">
        <v>-40</v>
      </c>
      <c r="X668" s="11">
        <v>-38</v>
      </c>
      <c r="Y668" s="11">
        <v>-32</v>
      </c>
      <c r="Z668" s="11">
        <v>-48</v>
      </c>
      <c r="AA668" s="11">
        <v>12.1</v>
      </c>
      <c r="AB668" s="11">
        <v>194</v>
      </c>
      <c r="AC668" s="11">
        <v>-16.600000000000001</v>
      </c>
      <c r="AD668" s="11">
        <v>250</v>
      </c>
      <c r="AE668" s="11">
        <v>-12</v>
      </c>
      <c r="AF668" s="11">
        <v>267</v>
      </c>
      <c r="AG668" s="11">
        <v>-10.6</v>
      </c>
      <c r="AH668" s="11">
        <v>80</v>
      </c>
      <c r="AI668" s="11">
        <v>75</v>
      </c>
      <c r="AJ668" s="11">
        <v>38</v>
      </c>
      <c r="AK668" s="11" t="s">
        <v>39</v>
      </c>
      <c r="AL668" s="11" t="s">
        <v>44</v>
      </c>
      <c r="AM668" s="10" t="s">
        <v>44</v>
      </c>
      <c r="AN668" s="9">
        <v>378</v>
      </c>
      <c r="AO668" s="8" t="s">
        <v>1936</v>
      </c>
      <c r="AP668" s="8">
        <v>920</v>
      </c>
      <c r="AQ668" s="8">
        <v>21.5</v>
      </c>
      <c r="AR668" s="8">
        <v>25.7</v>
      </c>
      <c r="AS668" s="8">
        <v>23.9</v>
      </c>
      <c r="AT668" s="8">
        <v>36</v>
      </c>
      <c r="AU668" s="8">
        <v>14.4</v>
      </c>
      <c r="AV668" s="8">
        <v>78</v>
      </c>
      <c r="AW668" s="8">
        <v>60</v>
      </c>
      <c r="AX668" s="8">
        <v>366</v>
      </c>
      <c r="AY668" s="8" t="s">
        <v>64</v>
      </c>
      <c r="AZ668" s="8" t="s">
        <v>82</v>
      </c>
      <c r="BA668" s="7" t="s">
        <v>46</v>
      </c>
      <c r="BB668" s="9"/>
      <c r="BC668" s="8" t="s">
        <v>1935</v>
      </c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7"/>
    </row>
    <row r="669" spans="1:68" ht="14.25" customHeight="1">
      <c r="A669" s="12">
        <v>12</v>
      </c>
      <c r="B669" s="14">
        <v>317</v>
      </c>
      <c r="C669" s="13" t="s">
        <v>30</v>
      </c>
      <c r="D669" s="13" t="s">
        <v>307</v>
      </c>
      <c r="E669" s="13" t="s">
        <v>1932</v>
      </c>
      <c r="F669" s="11">
        <v>-21.5</v>
      </c>
      <c r="G669" s="11">
        <v>-19.600000000000001</v>
      </c>
      <c r="H669" s="11">
        <v>-12.1</v>
      </c>
      <c r="I669" s="11">
        <v>-1.7</v>
      </c>
      <c r="J669" s="11">
        <v>5.5</v>
      </c>
      <c r="K669" s="11">
        <v>13.7</v>
      </c>
      <c r="L669" s="11">
        <v>17.5</v>
      </c>
      <c r="M669" s="11">
        <v>13.7</v>
      </c>
      <c r="N669" s="11">
        <v>8</v>
      </c>
      <c r="O669" s="11">
        <v>-1.4</v>
      </c>
      <c r="P669" s="11">
        <v>-12.7</v>
      </c>
      <c r="Q669" s="11">
        <v>-19.600000000000001</v>
      </c>
      <c r="R669" s="10">
        <v>-2.5</v>
      </c>
      <c r="S669" s="12">
        <v>317</v>
      </c>
      <c r="T669" s="8" t="s">
        <v>1934</v>
      </c>
      <c r="U669" s="11">
        <v>-49</v>
      </c>
      <c r="V669" s="11">
        <v>-46</v>
      </c>
      <c r="W669" s="11">
        <v>-44</v>
      </c>
      <c r="X669" s="11">
        <v>-42</v>
      </c>
      <c r="Y669" s="11">
        <v>-27</v>
      </c>
      <c r="Z669" s="11">
        <v>-51</v>
      </c>
      <c r="AA669" s="11">
        <v>9.1999999999999993</v>
      </c>
      <c r="AB669" s="11">
        <v>193</v>
      </c>
      <c r="AC669" s="11">
        <v>-13.6</v>
      </c>
      <c r="AD669" s="11">
        <v>252</v>
      </c>
      <c r="AE669" s="11">
        <v>-9.6</v>
      </c>
      <c r="AF669" s="11">
        <v>270</v>
      </c>
      <c r="AG669" s="11">
        <v>-8.3000000000000007</v>
      </c>
      <c r="AH669" s="11">
        <v>82</v>
      </c>
      <c r="AI669" s="11">
        <v>81</v>
      </c>
      <c r="AJ669" s="11">
        <v>110</v>
      </c>
      <c r="AK669" s="11" t="s">
        <v>27</v>
      </c>
      <c r="AL669" s="11">
        <v>4.3</v>
      </c>
      <c r="AM669" s="10">
        <v>3.9</v>
      </c>
      <c r="AN669" s="9">
        <v>317</v>
      </c>
      <c r="AO669" s="8" t="s">
        <v>1933</v>
      </c>
      <c r="AP669" s="8">
        <v>1000</v>
      </c>
      <c r="AQ669" s="8">
        <v>20.3</v>
      </c>
      <c r="AR669" s="8">
        <v>24.6</v>
      </c>
      <c r="AS669" s="8">
        <v>22.7</v>
      </c>
      <c r="AT669" s="8">
        <v>35</v>
      </c>
      <c r="AU669" s="8">
        <v>10</v>
      </c>
      <c r="AV669" s="8">
        <v>73</v>
      </c>
      <c r="AW669" s="8">
        <v>60</v>
      </c>
      <c r="AX669" s="8">
        <v>402</v>
      </c>
      <c r="AY669" s="8">
        <v>61</v>
      </c>
      <c r="AZ669" s="8" t="s">
        <v>54</v>
      </c>
      <c r="BA669" s="7">
        <v>0</v>
      </c>
      <c r="BB669" s="9"/>
      <c r="BC669" s="8" t="s">
        <v>1932</v>
      </c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7"/>
    </row>
    <row r="670" spans="1:68" ht="14.25" customHeight="1">
      <c r="A670" s="12">
        <v>13</v>
      </c>
      <c r="B670" s="14">
        <v>287</v>
      </c>
      <c r="C670" s="13" t="s">
        <v>30</v>
      </c>
      <c r="D670" s="13" t="s">
        <v>72</v>
      </c>
      <c r="E670" s="13" t="s">
        <v>1930</v>
      </c>
      <c r="F670" s="11">
        <v>-18</v>
      </c>
      <c r="G670" s="11">
        <v>-15.4</v>
      </c>
      <c r="H670" s="11">
        <v>-8.9</v>
      </c>
      <c r="I670" s="11">
        <v>-0.2</v>
      </c>
      <c r="J670" s="11">
        <v>5.5</v>
      </c>
      <c r="K670" s="11">
        <v>10.8</v>
      </c>
      <c r="L670" s="11">
        <v>15.3</v>
      </c>
      <c r="M670" s="11">
        <v>16.399999999999999</v>
      </c>
      <c r="N670" s="11">
        <v>12.2</v>
      </c>
      <c r="O670" s="11">
        <v>4.5999999999999996</v>
      </c>
      <c r="P670" s="11">
        <v>-4.9000000000000004</v>
      </c>
      <c r="Q670" s="11">
        <v>-13.3</v>
      </c>
      <c r="R670" s="10">
        <v>0.3</v>
      </c>
      <c r="S670" s="12">
        <v>287</v>
      </c>
      <c r="T670" s="8" t="s">
        <v>1930</v>
      </c>
      <c r="U670" s="11">
        <v>-32</v>
      </c>
      <c r="V670" s="11">
        <v>-30</v>
      </c>
      <c r="W670" s="11">
        <v>-29</v>
      </c>
      <c r="X670" s="11">
        <v>-27</v>
      </c>
      <c r="Y670" s="11">
        <v>-23</v>
      </c>
      <c r="Z670" s="11">
        <v>-41</v>
      </c>
      <c r="AA670" s="11">
        <v>9</v>
      </c>
      <c r="AB670" s="11">
        <v>168</v>
      </c>
      <c r="AC670" s="11">
        <v>-10.7</v>
      </c>
      <c r="AD670" s="11">
        <v>240</v>
      </c>
      <c r="AE670" s="11">
        <v>-6.2</v>
      </c>
      <c r="AF670" s="11">
        <v>260</v>
      </c>
      <c r="AG670" s="11">
        <v>-5.0999999999999996</v>
      </c>
      <c r="AH670" s="11">
        <v>77</v>
      </c>
      <c r="AI670" s="11">
        <v>77</v>
      </c>
      <c r="AJ670" s="11">
        <v>209</v>
      </c>
      <c r="AK670" s="11" t="s">
        <v>27</v>
      </c>
      <c r="AL670" s="11">
        <v>7.8</v>
      </c>
      <c r="AM670" s="10">
        <v>5.2</v>
      </c>
      <c r="AN670" s="9">
        <v>281</v>
      </c>
      <c r="AO670" s="8" t="s">
        <v>1931</v>
      </c>
      <c r="AP670" s="8">
        <v>1010</v>
      </c>
      <c r="AQ670" s="8">
        <v>17.899999999999999</v>
      </c>
      <c r="AR670" s="8">
        <v>20.9</v>
      </c>
      <c r="AS670" s="8">
        <v>20.5</v>
      </c>
      <c r="AT670" s="8">
        <v>31</v>
      </c>
      <c r="AU670" s="8">
        <v>8</v>
      </c>
      <c r="AV670" s="8">
        <v>81</v>
      </c>
      <c r="AW670" s="8">
        <v>76</v>
      </c>
      <c r="AX670" s="8">
        <v>455</v>
      </c>
      <c r="AY670" s="8">
        <v>77</v>
      </c>
      <c r="AZ670" s="8" t="s">
        <v>25</v>
      </c>
      <c r="BA670" s="7">
        <v>3.7</v>
      </c>
      <c r="BB670" s="9">
        <v>252</v>
      </c>
      <c r="BC670" s="8" t="s">
        <v>1930</v>
      </c>
      <c r="BD670" s="8">
        <v>1.3</v>
      </c>
      <c r="BE670" s="8">
        <v>1.5</v>
      </c>
      <c r="BF670" s="8">
        <v>2.4</v>
      </c>
      <c r="BG670" s="8">
        <v>4.3</v>
      </c>
      <c r="BH670" s="8">
        <v>6.7</v>
      </c>
      <c r="BI670" s="8">
        <v>10.1</v>
      </c>
      <c r="BJ670" s="8">
        <v>14.7</v>
      </c>
      <c r="BK670" s="8">
        <v>12.6</v>
      </c>
      <c r="BL670" s="8">
        <v>8.9</v>
      </c>
      <c r="BM670" s="8">
        <v>4.8</v>
      </c>
      <c r="BN670" s="8">
        <v>2.5</v>
      </c>
      <c r="BO670" s="8">
        <v>1.5</v>
      </c>
      <c r="BP670" s="7">
        <v>5.9</v>
      </c>
    </row>
    <row r="671" spans="1:68" ht="14.25" customHeight="1">
      <c r="A671" s="12">
        <v>14</v>
      </c>
      <c r="B671" s="14">
        <v>401</v>
      </c>
      <c r="C671" s="13" t="s">
        <v>30</v>
      </c>
      <c r="D671" s="13" t="s">
        <v>57</v>
      </c>
      <c r="E671" s="13" t="s">
        <v>1928</v>
      </c>
      <c r="F671" s="11">
        <v>-44.1</v>
      </c>
      <c r="G671" s="11">
        <v>-39.200000000000003</v>
      </c>
      <c r="H671" s="11">
        <v>-26.6</v>
      </c>
      <c r="I671" s="11">
        <v>-11.4</v>
      </c>
      <c r="J671" s="11">
        <v>2.2999999999999998</v>
      </c>
      <c r="K671" s="11">
        <v>10.9</v>
      </c>
      <c r="L671" s="11">
        <v>14.7</v>
      </c>
      <c r="M671" s="11">
        <v>11.4</v>
      </c>
      <c r="N671" s="11">
        <v>3.5</v>
      </c>
      <c r="O671" s="11">
        <v>-12.2</v>
      </c>
      <c r="P671" s="11">
        <v>-32.200000000000003</v>
      </c>
      <c r="Q671" s="11">
        <v>-42.7</v>
      </c>
      <c r="R671" s="10">
        <v>-13.8</v>
      </c>
      <c r="S671" s="12">
        <v>401</v>
      </c>
      <c r="T671" s="8" t="s">
        <v>1928</v>
      </c>
      <c r="U671" s="11">
        <v>-57</v>
      </c>
      <c r="V671" s="11">
        <v>-56</v>
      </c>
      <c r="W671" s="11">
        <v>-55</v>
      </c>
      <c r="X671" s="11">
        <v>-54</v>
      </c>
      <c r="Y671" s="11">
        <v>-49</v>
      </c>
      <c r="Z671" s="11">
        <v>-59</v>
      </c>
      <c r="AA671" s="11">
        <v>9.1999999999999993</v>
      </c>
      <c r="AB671" s="11">
        <v>231</v>
      </c>
      <c r="AC671" s="11">
        <v>-27</v>
      </c>
      <c r="AD671" s="11">
        <v>280</v>
      </c>
      <c r="AE671" s="11">
        <v>-21.4</v>
      </c>
      <c r="AF671" s="11">
        <v>295</v>
      </c>
      <c r="AG671" s="11">
        <v>-19.899999999999999</v>
      </c>
      <c r="AH671" s="11">
        <v>75</v>
      </c>
      <c r="AI671" s="11">
        <v>75</v>
      </c>
      <c r="AJ671" s="11">
        <v>32</v>
      </c>
      <c r="AK671" s="11" t="s">
        <v>56</v>
      </c>
      <c r="AL671" s="11">
        <v>3.2</v>
      </c>
      <c r="AM671" s="10">
        <v>0.9</v>
      </c>
      <c r="AN671" s="9">
        <v>401</v>
      </c>
      <c r="AO671" s="8" t="s">
        <v>1929</v>
      </c>
      <c r="AP671" s="8">
        <v>935</v>
      </c>
      <c r="AQ671" s="8">
        <v>19.8</v>
      </c>
      <c r="AR671" s="8">
        <v>24.1</v>
      </c>
      <c r="AS671" s="8">
        <v>22.2</v>
      </c>
      <c r="AT671" s="8">
        <v>33</v>
      </c>
      <c r="AU671" s="8">
        <v>16.2</v>
      </c>
      <c r="AV671" s="8">
        <v>69</v>
      </c>
      <c r="AW671" s="8">
        <v>51</v>
      </c>
      <c r="AX671" s="8">
        <v>280</v>
      </c>
      <c r="AY671" s="8">
        <v>52</v>
      </c>
      <c r="AZ671" s="8" t="s">
        <v>151</v>
      </c>
      <c r="BA671" s="7">
        <v>0</v>
      </c>
      <c r="BB671" s="9">
        <v>365</v>
      </c>
      <c r="BC671" s="8" t="s">
        <v>1928</v>
      </c>
      <c r="BD671" s="8">
        <v>0.2</v>
      </c>
      <c r="BE671" s="8">
        <v>0.2</v>
      </c>
      <c r="BF671" s="8">
        <v>0.7</v>
      </c>
      <c r="BG671" s="8">
        <v>2.1</v>
      </c>
      <c r="BH671" s="8">
        <v>4.5</v>
      </c>
      <c r="BI671" s="8">
        <v>8.1</v>
      </c>
      <c r="BJ671" s="8">
        <v>14.2</v>
      </c>
      <c r="BK671" s="8">
        <v>15.2</v>
      </c>
      <c r="BL671" s="8">
        <v>11</v>
      </c>
      <c r="BM671" s="8">
        <v>6.3</v>
      </c>
      <c r="BN671" s="8">
        <v>3.2</v>
      </c>
      <c r="BO671" s="8">
        <v>1.9</v>
      </c>
      <c r="BP671" s="7">
        <v>6.5</v>
      </c>
    </row>
    <row r="672" spans="1:68" ht="14.25" customHeight="1">
      <c r="A672" s="12">
        <v>15</v>
      </c>
      <c r="B672" s="14">
        <v>502</v>
      </c>
      <c r="C672" s="13" t="s">
        <v>121</v>
      </c>
      <c r="D672" s="13" t="s">
        <v>1843</v>
      </c>
      <c r="E672" s="13" t="s">
        <v>1926</v>
      </c>
      <c r="F672" s="11">
        <v>-6.5</v>
      </c>
      <c r="G672" s="11">
        <v>-5.0999999999999996</v>
      </c>
      <c r="H672" s="11">
        <v>2</v>
      </c>
      <c r="I672" s="11">
        <v>10.8</v>
      </c>
      <c r="J672" s="11">
        <v>16.2</v>
      </c>
      <c r="K672" s="11">
        <v>20.7</v>
      </c>
      <c r="L672" s="11">
        <v>23.5</v>
      </c>
      <c r="M672" s="11">
        <v>22.3</v>
      </c>
      <c r="N672" s="11">
        <v>17</v>
      </c>
      <c r="O672" s="11">
        <v>9.5</v>
      </c>
      <c r="P672" s="11">
        <v>0.9</v>
      </c>
      <c r="Q672" s="11">
        <v>-4.5</v>
      </c>
      <c r="R672" s="10">
        <v>8.9</v>
      </c>
      <c r="S672" s="12">
        <v>502</v>
      </c>
      <c r="T672" s="8" t="s">
        <v>1926</v>
      </c>
      <c r="U672" s="11">
        <v>-30</v>
      </c>
      <c r="V672" s="11">
        <v>-28</v>
      </c>
      <c r="W672" s="11">
        <v>-23</v>
      </c>
      <c r="X672" s="11">
        <v>-21</v>
      </c>
      <c r="Y672" s="11">
        <v>-11</v>
      </c>
      <c r="Z672" s="11" t="s">
        <v>44</v>
      </c>
      <c r="AA672" s="11">
        <v>9.8000000000000007</v>
      </c>
      <c r="AB672" s="11">
        <v>111</v>
      </c>
      <c r="AC672" s="11">
        <v>-4.5999999999999996</v>
      </c>
      <c r="AD672" s="11">
        <v>168</v>
      </c>
      <c r="AE672" s="11">
        <v>-1.6</v>
      </c>
      <c r="AF672" s="11">
        <v>182</v>
      </c>
      <c r="AG672" s="11">
        <v>-0.8</v>
      </c>
      <c r="AH672" s="11">
        <v>75</v>
      </c>
      <c r="AI672" s="11">
        <v>75</v>
      </c>
      <c r="AJ672" s="11">
        <v>213</v>
      </c>
      <c r="AK672" s="11" t="s">
        <v>34</v>
      </c>
      <c r="AL672" s="11">
        <v>1.3</v>
      </c>
      <c r="AM672" s="10">
        <v>1.1000000000000001</v>
      </c>
      <c r="AN672" s="9">
        <v>502</v>
      </c>
      <c r="AO672" s="8" t="s">
        <v>1927</v>
      </c>
      <c r="AP672" s="8">
        <v>920</v>
      </c>
      <c r="AQ672" s="8">
        <v>28.2</v>
      </c>
      <c r="AR672" s="8">
        <v>31.5</v>
      </c>
      <c r="AS672" s="8">
        <v>29.7</v>
      </c>
      <c r="AT672" s="8">
        <v>43</v>
      </c>
      <c r="AU672" s="8">
        <v>12.1</v>
      </c>
      <c r="AV672" s="8">
        <v>45</v>
      </c>
      <c r="AW672" s="8">
        <v>38</v>
      </c>
      <c r="AX672" s="8">
        <v>403</v>
      </c>
      <c r="AY672" s="8" t="s">
        <v>64</v>
      </c>
      <c r="AZ672" s="8" t="s">
        <v>151</v>
      </c>
      <c r="BA672" s="7">
        <v>1.6</v>
      </c>
      <c r="BB672" s="9">
        <v>285</v>
      </c>
      <c r="BC672" s="8" t="s">
        <v>1926</v>
      </c>
      <c r="BD672" s="8">
        <v>1.2</v>
      </c>
      <c r="BE672" s="8">
        <v>1.3</v>
      </c>
      <c r="BF672" s="8">
        <v>2.2000000000000002</v>
      </c>
      <c r="BG672" s="8">
        <v>4</v>
      </c>
      <c r="BH672" s="8">
        <v>6.2</v>
      </c>
      <c r="BI672" s="8">
        <v>10.8</v>
      </c>
      <c r="BJ672" s="8">
        <v>11.2</v>
      </c>
      <c r="BK672" s="8">
        <v>10</v>
      </c>
      <c r="BL672" s="8">
        <v>6</v>
      </c>
      <c r="BM672" s="8">
        <v>2.2999999999999998</v>
      </c>
      <c r="BN672" s="8">
        <v>0.5</v>
      </c>
      <c r="BO672" s="8">
        <v>0.2</v>
      </c>
      <c r="BP672" s="7">
        <v>3.8</v>
      </c>
    </row>
    <row r="673" spans="1:68" ht="14.25" customHeight="1">
      <c r="A673" s="12">
        <v>16</v>
      </c>
      <c r="B673" s="14">
        <v>83</v>
      </c>
      <c r="C673" s="13" t="s">
        <v>30</v>
      </c>
      <c r="D673" s="13" t="s">
        <v>300</v>
      </c>
      <c r="E673" s="13" t="s">
        <v>1923</v>
      </c>
      <c r="F673" s="11">
        <v>-16.7</v>
      </c>
      <c r="G673" s="11">
        <v>-14.6</v>
      </c>
      <c r="H673" s="11">
        <v>-7.8</v>
      </c>
      <c r="I673" s="11">
        <v>-0.2</v>
      </c>
      <c r="J673" s="11">
        <v>6.2</v>
      </c>
      <c r="K673" s="11">
        <v>12.2</v>
      </c>
      <c r="L673" s="11">
        <v>13.8</v>
      </c>
      <c r="M673" s="11">
        <v>12</v>
      </c>
      <c r="N673" s="11">
        <v>6.4</v>
      </c>
      <c r="O673" s="11">
        <v>0.1</v>
      </c>
      <c r="P673" s="11">
        <v>-8.9</v>
      </c>
      <c r="Q673" s="11">
        <v>-15.1</v>
      </c>
      <c r="R673" s="10">
        <v>-1.1000000000000001</v>
      </c>
      <c r="S673" s="12">
        <v>83</v>
      </c>
      <c r="T673" s="8" t="s">
        <v>1925</v>
      </c>
      <c r="U673" s="11">
        <v>-41</v>
      </c>
      <c r="V673" s="11">
        <v>-39</v>
      </c>
      <c r="W673" s="11">
        <v>-38</v>
      </c>
      <c r="X673" s="11">
        <v>-36</v>
      </c>
      <c r="Y673" s="11">
        <v>-22</v>
      </c>
      <c r="Z673" s="11">
        <v>-47</v>
      </c>
      <c r="AA673" s="11">
        <v>11.3</v>
      </c>
      <c r="AB673" s="11">
        <v>187</v>
      </c>
      <c r="AC673" s="11">
        <v>-10.8</v>
      </c>
      <c r="AD673" s="11">
        <v>264</v>
      </c>
      <c r="AE673" s="11">
        <v>-6.4</v>
      </c>
      <c r="AF673" s="11">
        <v>284</v>
      </c>
      <c r="AG673" s="11">
        <v>-5.3</v>
      </c>
      <c r="AH673" s="11">
        <v>64</v>
      </c>
      <c r="AI673" s="11">
        <v>59</v>
      </c>
      <c r="AJ673" s="11">
        <v>63</v>
      </c>
      <c r="AK673" s="11" t="s">
        <v>34</v>
      </c>
      <c r="AL673" s="11">
        <v>3.8</v>
      </c>
      <c r="AM673" s="10" t="s">
        <v>44</v>
      </c>
      <c r="AN673" s="9">
        <v>83</v>
      </c>
      <c r="AO673" s="8" t="s">
        <v>1924</v>
      </c>
      <c r="AP673" s="8">
        <v>920</v>
      </c>
      <c r="AQ673" s="8">
        <v>19.899999999999999</v>
      </c>
      <c r="AR673" s="8">
        <v>24.2</v>
      </c>
      <c r="AS673" s="8">
        <v>22.3</v>
      </c>
      <c r="AT673" s="8">
        <v>35</v>
      </c>
      <c r="AU673" s="8">
        <v>14.6</v>
      </c>
      <c r="AV673" s="8">
        <v>78</v>
      </c>
      <c r="AW673" s="8">
        <v>55</v>
      </c>
      <c r="AX673" s="8">
        <v>565</v>
      </c>
      <c r="AY673" s="8">
        <v>56</v>
      </c>
      <c r="AZ673" s="8" t="s">
        <v>32</v>
      </c>
      <c r="BA673" s="7" t="s">
        <v>46</v>
      </c>
      <c r="BB673" s="9">
        <v>67</v>
      </c>
      <c r="BC673" s="8" t="s">
        <v>1923</v>
      </c>
      <c r="BD673" s="8">
        <v>1.1000000000000001</v>
      </c>
      <c r="BE673" s="8">
        <v>1.3</v>
      </c>
      <c r="BF673" s="8">
        <v>1.9</v>
      </c>
      <c r="BG673" s="8">
        <v>3.1</v>
      </c>
      <c r="BH673" s="8">
        <v>5.0999999999999996</v>
      </c>
      <c r="BI673" s="8">
        <v>9.4</v>
      </c>
      <c r="BJ673" s="8">
        <v>12.3</v>
      </c>
      <c r="BK673" s="8">
        <v>10.9</v>
      </c>
      <c r="BL673" s="8">
        <v>6.6</v>
      </c>
      <c r="BM673" s="8">
        <v>3.6</v>
      </c>
      <c r="BN673" s="8">
        <v>1.9</v>
      </c>
      <c r="BO673" s="8">
        <v>1.3</v>
      </c>
      <c r="BP673" s="7">
        <v>4.9000000000000004</v>
      </c>
    </row>
    <row r="674" spans="1:68" ht="14.25" customHeight="1">
      <c r="A674" s="12">
        <v>17</v>
      </c>
      <c r="B674" s="14">
        <v>535</v>
      </c>
      <c r="C674" s="13" t="s">
        <v>121</v>
      </c>
      <c r="D674" s="13" t="s">
        <v>393</v>
      </c>
      <c r="E674" s="13" t="s">
        <v>1921</v>
      </c>
      <c r="F674" s="11">
        <v>-16.5</v>
      </c>
      <c r="G674" s="11">
        <v>-16.3</v>
      </c>
      <c r="H674" s="11">
        <v>-8.8000000000000007</v>
      </c>
      <c r="I674" s="11">
        <v>6.1</v>
      </c>
      <c r="J674" s="11">
        <v>15.1</v>
      </c>
      <c r="K674" s="11">
        <v>20.7</v>
      </c>
      <c r="L674" s="11">
        <v>23</v>
      </c>
      <c r="M674" s="11">
        <v>20.3</v>
      </c>
      <c r="N674" s="11">
        <v>13.6</v>
      </c>
      <c r="O674" s="11">
        <v>4.0999999999999996</v>
      </c>
      <c r="P674" s="11">
        <v>-5.2</v>
      </c>
      <c r="Q674" s="11">
        <v>-12.8</v>
      </c>
      <c r="R674" s="10">
        <v>3.6</v>
      </c>
      <c r="S674" s="12">
        <v>535</v>
      </c>
      <c r="T674" s="8" t="s">
        <v>1921</v>
      </c>
      <c r="U674" s="11">
        <v>-40</v>
      </c>
      <c r="V674" s="11">
        <v>-37</v>
      </c>
      <c r="W674" s="11">
        <v>-37</v>
      </c>
      <c r="X674" s="11">
        <v>-33</v>
      </c>
      <c r="Y674" s="11" t="s">
        <v>49</v>
      </c>
      <c r="Z674" s="11">
        <v>-45</v>
      </c>
      <c r="AA674" s="11">
        <v>9.1999999999999993</v>
      </c>
      <c r="AB674" s="11">
        <v>157</v>
      </c>
      <c r="AC674" s="11">
        <v>-11.4</v>
      </c>
      <c r="AD674" s="11">
        <v>200</v>
      </c>
      <c r="AE674" s="11">
        <v>-8</v>
      </c>
      <c r="AF674" s="11">
        <v>211</v>
      </c>
      <c r="AG674" s="11">
        <v>-7.1</v>
      </c>
      <c r="AH674" s="11">
        <v>81</v>
      </c>
      <c r="AI674" s="11" t="s">
        <v>49</v>
      </c>
      <c r="AJ674" s="11">
        <v>92</v>
      </c>
      <c r="AK674" s="11" t="s">
        <v>199</v>
      </c>
      <c r="AL674" s="11">
        <v>7.3</v>
      </c>
      <c r="AM674" s="10">
        <v>4.8</v>
      </c>
      <c r="AN674" s="9">
        <v>535</v>
      </c>
      <c r="AO674" s="8" t="s">
        <v>1922</v>
      </c>
      <c r="AP674" s="8" t="s">
        <v>64</v>
      </c>
      <c r="AQ674" s="8" t="s">
        <v>45</v>
      </c>
      <c r="AR674" s="8" t="s">
        <v>44</v>
      </c>
      <c r="AS674" s="8">
        <v>30.3</v>
      </c>
      <c r="AT674" s="8">
        <v>42</v>
      </c>
      <c r="AU674" s="8">
        <v>14.9</v>
      </c>
      <c r="AV674" s="8">
        <v>50</v>
      </c>
      <c r="AW674" s="8" t="s">
        <v>44</v>
      </c>
      <c r="AX674" s="8">
        <v>149</v>
      </c>
      <c r="AY674" s="8" t="s">
        <v>64</v>
      </c>
      <c r="AZ674" s="8" t="s">
        <v>37</v>
      </c>
      <c r="BA674" s="7">
        <v>4.4000000000000004</v>
      </c>
      <c r="BB674" s="9"/>
      <c r="BC674" s="8" t="s">
        <v>1921</v>
      </c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7"/>
    </row>
    <row r="675" spans="1:68" ht="14.25" customHeight="1">
      <c r="A675" s="12">
        <v>18</v>
      </c>
      <c r="B675" s="14">
        <v>402</v>
      </c>
      <c r="C675" s="13" t="s">
        <v>30</v>
      </c>
      <c r="D675" s="13" t="s">
        <v>57</v>
      </c>
      <c r="E675" s="13" t="s">
        <v>1919</v>
      </c>
      <c r="F675" s="11">
        <v>-42.9</v>
      </c>
      <c r="G675" s="11">
        <v>-38</v>
      </c>
      <c r="H675" s="11">
        <v>-24</v>
      </c>
      <c r="I675" s="11">
        <v>-7.5</v>
      </c>
      <c r="J675" s="11">
        <v>6.1</v>
      </c>
      <c r="K675" s="11">
        <v>14.5</v>
      </c>
      <c r="L675" s="11">
        <v>17.7</v>
      </c>
      <c r="M675" s="11">
        <v>14.1</v>
      </c>
      <c r="N675" s="11">
        <v>5.3</v>
      </c>
      <c r="O675" s="11">
        <v>-8.9</v>
      </c>
      <c r="P675" s="11">
        <v>-29.6</v>
      </c>
      <c r="Q675" s="11">
        <v>-40.6</v>
      </c>
      <c r="R675" s="10">
        <v>-11.2</v>
      </c>
      <c r="S675" s="12">
        <v>402</v>
      </c>
      <c r="T675" s="8" t="s">
        <v>1919</v>
      </c>
      <c r="U675" s="11">
        <v>-59</v>
      </c>
      <c r="V675" s="11">
        <v>-58</v>
      </c>
      <c r="W675" s="11">
        <v>-57</v>
      </c>
      <c r="X675" s="11">
        <v>-55</v>
      </c>
      <c r="Y675" s="11">
        <v>-48</v>
      </c>
      <c r="Z675" s="11">
        <v>-63</v>
      </c>
      <c r="AA675" s="11">
        <v>8.9</v>
      </c>
      <c r="AB675" s="11">
        <v>217</v>
      </c>
      <c r="AC675" s="11">
        <v>-26.1</v>
      </c>
      <c r="AD675" s="11">
        <v>259</v>
      </c>
      <c r="AE675" s="11">
        <v>-21.3</v>
      </c>
      <c r="AF675" s="11">
        <v>273</v>
      </c>
      <c r="AG675" s="11">
        <v>-19.7</v>
      </c>
      <c r="AH675" s="11">
        <v>76</v>
      </c>
      <c r="AI675" s="11">
        <v>76</v>
      </c>
      <c r="AJ675" s="11">
        <v>58</v>
      </c>
      <c r="AK675" s="11" t="s">
        <v>48</v>
      </c>
      <c r="AL675" s="11">
        <v>2.5</v>
      </c>
      <c r="AM675" s="10">
        <v>1.6</v>
      </c>
      <c r="AN675" s="9">
        <v>402</v>
      </c>
      <c r="AO675" s="8" t="s">
        <v>1920</v>
      </c>
      <c r="AP675" s="8">
        <v>990</v>
      </c>
      <c r="AQ675" s="8">
        <v>23</v>
      </c>
      <c r="AR675" s="8">
        <v>27.1</v>
      </c>
      <c r="AS675" s="8">
        <v>25.4</v>
      </c>
      <c r="AT675" s="8">
        <v>39</v>
      </c>
      <c r="AU675" s="8">
        <v>16</v>
      </c>
      <c r="AV675" s="8">
        <v>66</v>
      </c>
      <c r="AW675" s="8">
        <v>48</v>
      </c>
      <c r="AX675" s="8">
        <v>198</v>
      </c>
      <c r="AY675" s="8">
        <v>66</v>
      </c>
      <c r="AZ675" s="8" t="s">
        <v>43</v>
      </c>
      <c r="BA675" s="7">
        <v>0</v>
      </c>
      <c r="BB675" s="9">
        <v>366</v>
      </c>
      <c r="BC675" s="8" t="s">
        <v>1919</v>
      </c>
      <c r="BD675" s="8">
        <v>0.1</v>
      </c>
      <c r="BE675" s="8">
        <v>0.3</v>
      </c>
      <c r="BF675" s="8">
        <v>0.9</v>
      </c>
      <c r="BG675" s="8">
        <v>2.6</v>
      </c>
      <c r="BH675" s="8">
        <v>5.4</v>
      </c>
      <c r="BI675" s="8">
        <v>9.9</v>
      </c>
      <c r="BJ675" s="8">
        <v>12.9</v>
      </c>
      <c r="BK675" s="8">
        <v>11.4</v>
      </c>
      <c r="BL675" s="8">
        <v>6.7</v>
      </c>
      <c r="BM675" s="8">
        <v>2.9</v>
      </c>
      <c r="BN675" s="8">
        <v>0.7</v>
      </c>
      <c r="BO675" s="8">
        <v>0.2</v>
      </c>
      <c r="BP675" s="7">
        <v>4.5</v>
      </c>
    </row>
    <row r="676" spans="1:68" ht="14.25" customHeight="1">
      <c r="A676" s="12">
        <v>19</v>
      </c>
      <c r="B676" s="14">
        <v>393</v>
      </c>
      <c r="C676" s="13" t="s">
        <v>30</v>
      </c>
      <c r="D676" s="13" t="s">
        <v>80</v>
      </c>
      <c r="E676" s="13" t="s">
        <v>1916</v>
      </c>
      <c r="F676" s="11">
        <v>-19.7</v>
      </c>
      <c r="G676" s="11">
        <v>-22.3</v>
      </c>
      <c r="H676" s="11">
        <v>-20.6</v>
      </c>
      <c r="I676" s="11">
        <v>-12.9</v>
      </c>
      <c r="J676" s="11">
        <v>-3</v>
      </c>
      <c r="K676" s="11">
        <v>5.4</v>
      </c>
      <c r="L676" s="11">
        <v>10.6</v>
      </c>
      <c r="M676" s="11">
        <v>9.5</v>
      </c>
      <c r="N676" s="11">
        <v>3.9</v>
      </c>
      <c r="O676" s="11">
        <v>-5.9</v>
      </c>
      <c r="P676" s="11">
        <v>-14.6</v>
      </c>
      <c r="Q676" s="11">
        <v>-21</v>
      </c>
      <c r="R676" s="10">
        <v>-7.6</v>
      </c>
      <c r="S676" s="12">
        <v>393</v>
      </c>
      <c r="T676" s="8" t="s">
        <v>1918</v>
      </c>
      <c r="U676" s="11">
        <v>-43</v>
      </c>
      <c r="V676" s="11">
        <v>-42</v>
      </c>
      <c r="W676" s="11">
        <v>-42</v>
      </c>
      <c r="X676" s="11">
        <v>-40</v>
      </c>
      <c r="Y676" s="11">
        <v>-27</v>
      </c>
      <c r="Z676" s="11">
        <v>-45</v>
      </c>
      <c r="AA676" s="11">
        <v>7.7</v>
      </c>
      <c r="AB676" s="11">
        <v>241</v>
      </c>
      <c r="AC676" s="11">
        <v>-14.7</v>
      </c>
      <c r="AD676" s="11">
        <v>311</v>
      </c>
      <c r="AE676" s="11">
        <v>-10.5</v>
      </c>
      <c r="AF676" s="11">
        <v>345</v>
      </c>
      <c r="AG676" s="11">
        <v>-8.5</v>
      </c>
      <c r="AH676" s="11">
        <v>81</v>
      </c>
      <c r="AI676" s="11">
        <v>81</v>
      </c>
      <c r="AJ676" s="11">
        <v>140</v>
      </c>
      <c r="AK676" s="11" t="s">
        <v>75</v>
      </c>
      <c r="AL676" s="11">
        <v>11.4</v>
      </c>
      <c r="AM676" s="10">
        <v>6.7</v>
      </c>
      <c r="AN676" s="9">
        <v>393</v>
      </c>
      <c r="AO676" s="8" t="s">
        <v>1917</v>
      </c>
      <c r="AP676" s="8">
        <v>1000</v>
      </c>
      <c r="AQ676" s="8">
        <v>12.6</v>
      </c>
      <c r="AR676" s="8">
        <v>16.5</v>
      </c>
      <c r="AS676" s="8">
        <v>14.7</v>
      </c>
      <c r="AT676" s="8">
        <v>28</v>
      </c>
      <c r="AU676" s="8">
        <v>7</v>
      </c>
      <c r="AV676" s="8">
        <v>81</v>
      </c>
      <c r="AW676" s="8">
        <v>81</v>
      </c>
      <c r="AX676" s="8">
        <v>191</v>
      </c>
      <c r="AY676" s="8">
        <v>45</v>
      </c>
      <c r="AZ676" s="8" t="s">
        <v>25</v>
      </c>
      <c r="BA676" s="7">
        <v>5.7</v>
      </c>
      <c r="BB676" s="9">
        <v>357</v>
      </c>
      <c r="BC676" s="8" t="s">
        <v>1916</v>
      </c>
      <c r="BD676" s="8">
        <v>1.7</v>
      </c>
      <c r="BE676" s="8">
        <v>1.2</v>
      </c>
      <c r="BF676" s="8">
        <v>1.3</v>
      </c>
      <c r="BG676" s="8">
        <v>2.2000000000000002</v>
      </c>
      <c r="BH676" s="8">
        <v>4.4000000000000004</v>
      </c>
      <c r="BI676" s="8">
        <v>7.3</v>
      </c>
      <c r="BJ676" s="8">
        <v>10.4</v>
      </c>
      <c r="BK676" s="8">
        <v>9.9</v>
      </c>
      <c r="BL676" s="8">
        <v>6.8</v>
      </c>
      <c r="BM676" s="8">
        <v>3.6</v>
      </c>
      <c r="BN676" s="8">
        <v>2.1</v>
      </c>
      <c r="BO676" s="8">
        <v>1.5</v>
      </c>
      <c r="BP676" s="7">
        <v>4.4000000000000004</v>
      </c>
    </row>
    <row r="677" spans="1:68" ht="14.25" customHeight="1">
      <c r="A677" s="12">
        <v>20</v>
      </c>
      <c r="B677" s="14">
        <v>582</v>
      </c>
      <c r="C677" s="13" t="s">
        <v>117</v>
      </c>
      <c r="D677" s="13" t="s">
        <v>1915</v>
      </c>
      <c r="E677" s="13" t="s">
        <v>1913</v>
      </c>
      <c r="F677" s="11">
        <v>-2.2000000000000002</v>
      </c>
      <c r="G677" s="11">
        <v>1.2</v>
      </c>
      <c r="H677" s="11">
        <v>8.1</v>
      </c>
      <c r="I677" s="11">
        <v>16.100000000000001</v>
      </c>
      <c r="J677" s="11">
        <v>21.4</v>
      </c>
      <c r="K677" s="11">
        <v>25.7</v>
      </c>
      <c r="L677" s="11">
        <v>27.2</v>
      </c>
      <c r="M677" s="11">
        <v>25</v>
      </c>
      <c r="N677" s="11">
        <v>19.8</v>
      </c>
      <c r="O677" s="11">
        <v>13.1</v>
      </c>
      <c r="P677" s="11">
        <v>5.6</v>
      </c>
      <c r="Q677" s="11">
        <v>0.5</v>
      </c>
      <c r="R677" s="10">
        <v>13.5</v>
      </c>
      <c r="S677" s="12">
        <v>571</v>
      </c>
      <c r="T677" s="8" t="s">
        <v>1913</v>
      </c>
      <c r="U677" s="11">
        <v>-19</v>
      </c>
      <c r="V677" s="11">
        <v>-16</v>
      </c>
      <c r="W677" s="11">
        <v>-16</v>
      </c>
      <c r="X677" s="11" t="s">
        <v>64</v>
      </c>
      <c r="Y677" s="11">
        <v>-5</v>
      </c>
      <c r="Z677" s="11">
        <v>-28</v>
      </c>
      <c r="AA677" s="11">
        <v>9.1</v>
      </c>
      <c r="AB677" s="11">
        <v>52</v>
      </c>
      <c r="AC677" s="11" t="s">
        <v>45</v>
      </c>
      <c r="AD677" s="11">
        <v>130</v>
      </c>
      <c r="AE677" s="11">
        <v>1.6</v>
      </c>
      <c r="AF677" s="11" t="s">
        <v>114</v>
      </c>
      <c r="AG677" s="11" t="s">
        <v>44</v>
      </c>
      <c r="AH677" s="11" t="s">
        <v>49</v>
      </c>
      <c r="AI677" s="11" t="s">
        <v>49</v>
      </c>
      <c r="AJ677" s="11" t="s">
        <v>84</v>
      </c>
      <c r="AK677" s="11" t="s">
        <v>44</v>
      </c>
      <c r="AL677" s="11">
        <v>2.1</v>
      </c>
      <c r="AM677" s="10" t="s">
        <v>44</v>
      </c>
      <c r="AN677" s="9">
        <v>572</v>
      </c>
      <c r="AO677" s="8" t="s">
        <v>1914</v>
      </c>
      <c r="AP677" s="8">
        <v>970</v>
      </c>
      <c r="AQ677" s="8">
        <v>32.5</v>
      </c>
      <c r="AR677" s="8">
        <v>36.4</v>
      </c>
      <c r="AS677" s="8">
        <v>35.1</v>
      </c>
      <c r="AT677" s="8">
        <v>42</v>
      </c>
      <c r="AU677" s="8">
        <v>15.5</v>
      </c>
      <c r="AV677" s="8" t="s">
        <v>45</v>
      </c>
      <c r="AW677" s="8" t="s">
        <v>44</v>
      </c>
      <c r="AX677" s="8" t="s">
        <v>44</v>
      </c>
      <c r="AY677" s="8">
        <v>64</v>
      </c>
      <c r="AZ677" s="8" t="s">
        <v>114</v>
      </c>
      <c r="BA677" s="7">
        <v>0</v>
      </c>
      <c r="BB677" s="9"/>
      <c r="BC677" s="8" t="s">
        <v>1913</v>
      </c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7"/>
    </row>
    <row r="678" spans="1:68" ht="14.25" customHeight="1">
      <c r="A678" s="12">
        <v>21</v>
      </c>
      <c r="B678" s="14">
        <v>256</v>
      </c>
      <c r="C678" s="13" t="s">
        <v>30</v>
      </c>
      <c r="D678" s="13" t="s">
        <v>154</v>
      </c>
      <c r="E678" s="13" t="s">
        <v>1910</v>
      </c>
      <c r="F678" s="11">
        <v>-20.3</v>
      </c>
      <c r="G678" s="11">
        <v>-16</v>
      </c>
      <c r="H678" s="11">
        <v>-5.9</v>
      </c>
      <c r="I678" s="11">
        <v>5</v>
      </c>
      <c r="J678" s="11">
        <v>12.1</v>
      </c>
      <c r="K678" s="11">
        <v>17</v>
      </c>
      <c r="L678" s="11">
        <v>21.1</v>
      </c>
      <c r="M678" s="11">
        <v>20.6</v>
      </c>
      <c r="N678" s="11">
        <v>13.7</v>
      </c>
      <c r="O678" s="11">
        <v>5.7</v>
      </c>
      <c r="P678" s="11">
        <v>-5.7</v>
      </c>
      <c r="Q678" s="11">
        <v>-16.7</v>
      </c>
      <c r="R678" s="10">
        <v>2.6</v>
      </c>
      <c r="S678" s="12">
        <v>256</v>
      </c>
      <c r="T678" s="8" t="s">
        <v>1912</v>
      </c>
      <c r="U678" s="11">
        <v>-35</v>
      </c>
      <c r="V678" s="11">
        <v>-33</v>
      </c>
      <c r="W678" s="11">
        <v>-33</v>
      </c>
      <c r="X678" s="11">
        <v>-31</v>
      </c>
      <c r="Y678" s="11">
        <v>-25</v>
      </c>
      <c r="Z678" s="11">
        <v>-44</v>
      </c>
      <c r="AA678" s="11">
        <v>16.600000000000001</v>
      </c>
      <c r="AB678" s="11">
        <v>152</v>
      </c>
      <c r="AC678" s="11">
        <v>-12.2</v>
      </c>
      <c r="AD678" s="11">
        <v>203</v>
      </c>
      <c r="AE678" s="11">
        <v>-8.1</v>
      </c>
      <c r="AF678" s="11">
        <v>219</v>
      </c>
      <c r="AG678" s="11">
        <v>-6.8</v>
      </c>
      <c r="AH678" s="11">
        <v>73</v>
      </c>
      <c r="AI678" s="11">
        <v>59</v>
      </c>
      <c r="AJ678" s="11">
        <v>120</v>
      </c>
      <c r="AK678" s="11" t="s">
        <v>39</v>
      </c>
      <c r="AL678" s="11" t="s">
        <v>44</v>
      </c>
      <c r="AM678" s="10">
        <v>2.2000000000000002</v>
      </c>
      <c r="AN678" s="9">
        <v>256</v>
      </c>
      <c r="AO678" s="8" t="s">
        <v>1911</v>
      </c>
      <c r="AP678" s="8">
        <v>985</v>
      </c>
      <c r="AQ678" s="8">
        <v>25.1</v>
      </c>
      <c r="AR678" s="8">
        <v>29.1</v>
      </c>
      <c r="AS678" s="8">
        <v>27.5</v>
      </c>
      <c r="AT678" s="8">
        <v>39</v>
      </c>
      <c r="AU678" s="8">
        <v>11.8</v>
      </c>
      <c r="AV678" s="8">
        <v>78</v>
      </c>
      <c r="AW678" s="8">
        <v>61</v>
      </c>
      <c r="AX678" s="8">
        <v>574</v>
      </c>
      <c r="AY678" s="8">
        <v>146</v>
      </c>
      <c r="AZ678" s="8" t="s">
        <v>82</v>
      </c>
      <c r="BA678" s="7" t="s">
        <v>46</v>
      </c>
      <c r="BB678" s="9">
        <v>227</v>
      </c>
      <c r="BC678" s="8" t="s">
        <v>1910</v>
      </c>
      <c r="BD678" s="8">
        <v>1.1000000000000001</v>
      </c>
      <c r="BE678" s="8">
        <v>1.4</v>
      </c>
      <c r="BF678" s="8">
        <v>2.7</v>
      </c>
      <c r="BG678" s="8">
        <v>4.8</v>
      </c>
      <c r="BH678" s="8">
        <v>8.1</v>
      </c>
      <c r="BI678" s="8">
        <v>13.9</v>
      </c>
      <c r="BJ678" s="8">
        <v>19.3</v>
      </c>
      <c r="BK678" s="8">
        <v>19.2</v>
      </c>
      <c r="BL678" s="8">
        <v>12.2</v>
      </c>
      <c r="BM678" s="8">
        <v>6.3</v>
      </c>
      <c r="BN678" s="8">
        <v>3.1</v>
      </c>
      <c r="BO678" s="8">
        <v>1.4</v>
      </c>
      <c r="BP678" s="7">
        <v>7.8</v>
      </c>
    </row>
    <row r="679" spans="1:68" ht="14.25" customHeight="1">
      <c r="A679" s="12">
        <v>22</v>
      </c>
      <c r="B679" s="14">
        <v>112</v>
      </c>
      <c r="C679" s="13" t="s">
        <v>30</v>
      </c>
      <c r="D679" s="13" t="s">
        <v>293</v>
      </c>
      <c r="E679" s="13" t="s">
        <v>1907</v>
      </c>
      <c r="F679" s="11">
        <v>-10.9</v>
      </c>
      <c r="G679" s="11">
        <v>-13.1</v>
      </c>
      <c r="H679" s="11">
        <v>-11.9</v>
      </c>
      <c r="I679" s="11">
        <v>-6.5</v>
      </c>
      <c r="J679" s="11">
        <v>0.7</v>
      </c>
      <c r="K679" s="11">
        <v>6.1</v>
      </c>
      <c r="L679" s="11">
        <v>9.8000000000000007</v>
      </c>
      <c r="M679" s="11">
        <v>10.4</v>
      </c>
      <c r="N679" s="11">
        <v>6.5</v>
      </c>
      <c r="O679" s="11">
        <v>-1.7</v>
      </c>
      <c r="P679" s="11">
        <v>-8.5</v>
      </c>
      <c r="Q679" s="11">
        <v>-12.1</v>
      </c>
      <c r="R679" s="10">
        <v>-2.6</v>
      </c>
      <c r="S679" s="12">
        <v>112</v>
      </c>
      <c r="T679" s="8" t="s">
        <v>1909</v>
      </c>
      <c r="U679" s="11">
        <v>-36</v>
      </c>
      <c r="V679" s="11">
        <v>-33</v>
      </c>
      <c r="W679" s="11">
        <v>-31</v>
      </c>
      <c r="X679" s="11">
        <v>-29</v>
      </c>
      <c r="Y679" s="11">
        <v>-18</v>
      </c>
      <c r="Z679" s="11">
        <v>-40</v>
      </c>
      <c r="AA679" s="11">
        <v>6.7</v>
      </c>
      <c r="AB679" s="11">
        <v>215</v>
      </c>
      <c r="AC679" s="11">
        <v>-8.9</v>
      </c>
      <c r="AD679" s="11">
        <v>300</v>
      </c>
      <c r="AE679" s="11">
        <v>-5.0999999999999996</v>
      </c>
      <c r="AF679" s="11">
        <v>341</v>
      </c>
      <c r="AG679" s="11">
        <v>-3.4</v>
      </c>
      <c r="AH679" s="11">
        <v>76</v>
      </c>
      <c r="AI679" s="11">
        <v>75</v>
      </c>
      <c r="AJ679" s="11" t="s">
        <v>84</v>
      </c>
      <c r="AK679" s="11" t="s">
        <v>199</v>
      </c>
      <c r="AL679" s="11" t="s">
        <v>44</v>
      </c>
      <c r="AM679" s="10" t="s">
        <v>44</v>
      </c>
      <c r="AN679" s="9">
        <v>112</v>
      </c>
      <c r="AO679" s="8" t="s">
        <v>1908</v>
      </c>
      <c r="AP679" s="8">
        <v>1010</v>
      </c>
      <c r="AQ679" s="8">
        <v>10.8</v>
      </c>
      <c r="AR679" s="8">
        <v>15.5</v>
      </c>
      <c r="AS679" s="8">
        <v>13.2</v>
      </c>
      <c r="AT679" s="8">
        <v>25</v>
      </c>
      <c r="AU679" s="8">
        <v>5.5</v>
      </c>
      <c r="AV679" s="8">
        <v>88</v>
      </c>
      <c r="AW679" s="8">
        <v>82</v>
      </c>
      <c r="AX679" s="8">
        <v>254</v>
      </c>
      <c r="AY679" s="8">
        <v>57</v>
      </c>
      <c r="AZ679" s="8" t="s">
        <v>82</v>
      </c>
      <c r="BA679" s="7" t="s">
        <v>46</v>
      </c>
      <c r="BB679" s="9">
        <v>96</v>
      </c>
      <c r="BC679" s="8" t="s">
        <v>1907</v>
      </c>
      <c r="BD679" s="8">
        <v>2.6</v>
      </c>
      <c r="BE679" s="8">
        <v>2.2000000000000002</v>
      </c>
      <c r="BF679" s="8">
        <v>2.2000000000000002</v>
      </c>
      <c r="BG679" s="8">
        <v>3.3</v>
      </c>
      <c r="BH679" s="8">
        <v>5.6</v>
      </c>
      <c r="BI679" s="8">
        <v>8.3000000000000007</v>
      </c>
      <c r="BJ679" s="8">
        <v>10.9</v>
      </c>
      <c r="BK679" s="8">
        <v>11.2</v>
      </c>
      <c r="BL679" s="8">
        <v>8.3000000000000007</v>
      </c>
      <c r="BM679" s="8">
        <v>4.5999999999999996</v>
      </c>
      <c r="BN679" s="8">
        <v>2.9</v>
      </c>
      <c r="BO679" s="8">
        <v>2.4</v>
      </c>
      <c r="BP679" s="7">
        <v>5.4</v>
      </c>
    </row>
    <row r="680" spans="1:68" ht="14.25" customHeight="1">
      <c r="A680" s="12">
        <v>23</v>
      </c>
      <c r="B680" s="14">
        <v>520</v>
      </c>
      <c r="C680" s="13" t="s">
        <v>121</v>
      </c>
      <c r="D680" s="13" t="s">
        <v>1289</v>
      </c>
      <c r="E680" s="13" t="s">
        <v>1905</v>
      </c>
      <c r="F680" s="11">
        <v>-12.6</v>
      </c>
      <c r="G680" s="11">
        <v>-11.9</v>
      </c>
      <c r="H680" s="11">
        <v>-3.7</v>
      </c>
      <c r="I680" s="11">
        <v>9.3000000000000007</v>
      </c>
      <c r="J680" s="11">
        <v>17.899999999999999</v>
      </c>
      <c r="K680" s="11">
        <v>23.8</v>
      </c>
      <c r="L680" s="11">
        <v>26.5</v>
      </c>
      <c r="M680" s="11">
        <v>24.2</v>
      </c>
      <c r="N680" s="11">
        <v>17.3</v>
      </c>
      <c r="O680" s="11">
        <v>7.6</v>
      </c>
      <c r="P680" s="11">
        <v>-1.3</v>
      </c>
      <c r="Q680" s="11">
        <v>-8.6999999999999993</v>
      </c>
      <c r="R680" s="10">
        <v>7.4</v>
      </c>
      <c r="S680" s="12">
        <v>520</v>
      </c>
      <c r="T680" s="8" t="s">
        <v>1905</v>
      </c>
      <c r="U680" s="11">
        <v>-35</v>
      </c>
      <c r="V680" s="11">
        <v>-33</v>
      </c>
      <c r="W680" s="11">
        <v>-30</v>
      </c>
      <c r="X680" s="11">
        <v>-27</v>
      </c>
      <c r="Y680" s="11">
        <v>-18</v>
      </c>
      <c r="Z680" s="11">
        <v>-38</v>
      </c>
      <c r="AA680" s="11">
        <v>8.4</v>
      </c>
      <c r="AB680" s="11">
        <v>136</v>
      </c>
      <c r="AC680" s="11">
        <v>-8.5</v>
      </c>
      <c r="AD680" s="11">
        <v>181</v>
      </c>
      <c r="AE680" s="11">
        <v>-5.4</v>
      </c>
      <c r="AF680" s="11">
        <v>192</v>
      </c>
      <c r="AG680" s="11">
        <v>-4.5999999999999996</v>
      </c>
      <c r="AH680" s="11">
        <v>81</v>
      </c>
      <c r="AI680" s="11">
        <v>76</v>
      </c>
      <c r="AJ680" s="11">
        <v>59</v>
      </c>
      <c r="AK680" s="11" t="s">
        <v>199</v>
      </c>
      <c r="AL680" s="11">
        <v>5.6</v>
      </c>
      <c r="AM680" s="10">
        <v>4.9000000000000004</v>
      </c>
      <c r="AN680" s="9">
        <v>520</v>
      </c>
      <c r="AO680" s="8" t="s">
        <v>1906</v>
      </c>
      <c r="AP680" s="8" t="s">
        <v>64</v>
      </c>
      <c r="AQ680" s="8">
        <v>30.4</v>
      </c>
      <c r="AR680" s="8">
        <v>34</v>
      </c>
      <c r="AS680" s="8">
        <v>32</v>
      </c>
      <c r="AT680" s="8">
        <v>45</v>
      </c>
      <c r="AU680" s="8">
        <v>12.1</v>
      </c>
      <c r="AV680" s="8">
        <v>40</v>
      </c>
      <c r="AW680" s="8" t="s">
        <v>44</v>
      </c>
      <c r="AX680" s="8">
        <v>78</v>
      </c>
      <c r="AY680" s="8" t="s">
        <v>64</v>
      </c>
      <c r="AZ680" s="8" t="s">
        <v>32</v>
      </c>
      <c r="BA680" s="7">
        <v>5</v>
      </c>
      <c r="BB680" s="9"/>
      <c r="BC680" s="8" t="s">
        <v>1905</v>
      </c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7"/>
    </row>
    <row r="681" spans="1:68" ht="14.25" customHeight="1">
      <c r="A681" s="12">
        <v>24</v>
      </c>
      <c r="B681" s="14">
        <v>227</v>
      </c>
      <c r="C681" s="13" t="s">
        <v>30</v>
      </c>
      <c r="D681" s="13" t="s">
        <v>929</v>
      </c>
      <c r="E681" s="13" t="s">
        <v>1902</v>
      </c>
      <c r="F681" s="11">
        <v>-12.4</v>
      </c>
      <c r="G681" s="11">
        <v>-11.9</v>
      </c>
      <c r="H681" s="11">
        <v>-6.5</v>
      </c>
      <c r="I681" s="11">
        <v>3.5</v>
      </c>
      <c r="J681" s="11">
        <v>12</v>
      </c>
      <c r="K681" s="11">
        <v>16.899999999999999</v>
      </c>
      <c r="L681" s="11">
        <v>18.8</v>
      </c>
      <c r="M681" s="11">
        <v>17.2</v>
      </c>
      <c r="N681" s="11">
        <v>10.8</v>
      </c>
      <c r="O681" s="11">
        <v>3.5</v>
      </c>
      <c r="P681" s="11">
        <v>-3.6</v>
      </c>
      <c r="Q681" s="11">
        <v>-9.4</v>
      </c>
      <c r="R681" s="10">
        <v>3.2</v>
      </c>
      <c r="S681" s="12">
        <v>227</v>
      </c>
      <c r="T681" s="8" t="s">
        <v>1904</v>
      </c>
      <c r="U681" s="11">
        <v>-40</v>
      </c>
      <c r="V681" s="11">
        <v>-36</v>
      </c>
      <c r="W681" s="11">
        <v>-35</v>
      </c>
      <c r="X681" s="11">
        <v>-32</v>
      </c>
      <c r="Y681" s="11">
        <v>-17</v>
      </c>
      <c r="Z681" s="11">
        <v>-43</v>
      </c>
      <c r="AA681" s="11">
        <v>7</v>
      </c>
      <c r="AB681" s="11">
        <v>156</v>
      </c>
      <c r="AC681" s="11">
        <v>-8.1</v>
      </c>
      <c r="AD681" s="11">
        <v>216</v>
      </c>
      <c r="AE681" s="11">
        <v>-4.7</v>
      </c>
      <c r="AF681" s="11">
        <v>232</v>
      </c>
      <c r="AG681" s="11">
        <v>-3.8</v>
      </c>
      <c r="AH681" s="11">
        <v>85</v>
      </c>
      <c r="AI681" s="11">
        <v>84</v>
      </c>
      <c r="AJ681" s="11">
        <v>238</v>
      </c>
      <c r="AK681" s="11" t="s">
        <v>39</v>
      </c>
      <c r="AL681" s="11">
        <v>7.5</v>
      </c>
      <c r="AM681" s="10">
        <v>4.0999999999999996</v>
      </c>
      <c r="AN681" s="9">
        <v>227</v>
      </c>
      <c r="AO681" s="8" t="s">
        <v>1903</v>
      </c>
      <c r="AP681" s="8">
        <v>990</v>
      </c>
      <c r="AQ681" s="8">
        <v>22.2</v>
      </c>
      <c r="AR681" s="8">
        <v>26.4</v>
      </c>
      <c r="AS681" s="8">
        <v>24.6</v>
      </c>
      <c r="AT681" s="8">
        <v>37</v>
      </c>
      <c r="AU681" s="8">
        <v>11.4</v>
      </c>
      <c r="AV681" s="8">
        <v>70</v>
      </c>
      <c r="AW681" s="8">
        <v>53</v>
      </c>
      <c r="AX681" s="8">
        <v>384</v>
      </c>
      <c r="AY681" s="8" t="s">
        <v>64</v>
      </c>
      <c r="AZ681" s="8" t="s">
        <v>43</v>
      </c>
      <c r="BA681" s="7">
        <v>4.2</v>
      </c>
      <c r="BB681" s="9"/>
      <c r="BC681" s="8" t="s">
        <v>1902</v>
      </c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7"/>
    </row>
    <row r="682" spans="1:68" ht="14.25" customHeight="1">
      <c r="A682" s="12">
        <v>25</v>
      </c>
      <c r="B682" s="14">
        <v>305</v>
      </c>
      <c r="C682" s="13" t="s">
        <v>30</v>
      </c>
      <c r="D682" s="13" t="s">
        <v>559</v>
      </c>
      <c r="E682" s="13" t="s">
        <v>1899</v>
      </c>
      <c r="F682" s="11">
        <v>-4.9000000000000004</v>
      </c>
      <c r="G682" s="11">
        <v>-3.6</v>
      </c>
      <c r="H682" s="11">
        <v>1.6</v>
      </c>
      <c r="I682" s="11">
        <v>10.3</v>
      </c>
      <c r="J682" s="11">
        <v>17.399999999999999</v>
      </c>
      <c r="K682" s="11">
        <v>22</v>
      </c>
      <c r="L682" s="11">
        <v>25</v>
      </c>
      <c r="M682" s="11">
        <v>23.7</v>
      </c>
      <c r="N682" s="11">
        <v>17.8</v>
      </c>
      <c r="O682" s="11">
        <v>10.1</v>
      </c>
      <c r="P682" s="11">
        <v>4</v>
      </c>
      <c r="Q682" s="11">
        <v>-1.3</v>
      </c>
      <c r="R682" s="10">
        <v>10.199999999999999</v>
      </c>
      <c r="S682" s="12">
        <v>305</v>
      </c>
      <c r="T682" s="8" t="s">
        <v>1901</v>
      </c>
      <c r="U682" s="11">
        <v>-30</v>
      </c>
      <c r="V682" s="11">
        <v>-26</v>
      </c>
      <c r="W682" s="11">
        <v>-25</v>
      </c>
      <c r="X682" s="11">
        <v>-22</v>
      </c>
      <c r="Y682" s="11">
        <v>-10</v>
      </c>
      <c r="Z682" s="11">
        <v>-37</v>
      </c>
      <c r="AA682" s="11">
        <v>6.2</v>
      </c>
      <c r="AB682" s="11">
        <v>88</v>
      </c>
      <c r="AC682" s="11">
        <v>-3</v>
      </c>
      <c r="AD682" s="11">
        <v>163</v>
      </c>
      <c r="AE682" s="11">
        <v>0.1</v>
      </c>
      <c r="AF682" s="11">
        <v>180</v>
      </c>
      <c r="AG682" s="11">
        <v>1</v>
      </c>
      <c r="AH682" s="11">
        <v>86</v>
      </c>
      <c r="AI682" s="11">
        <v>83</v>
      </c>
      <c r="AJ682" s="11">
        <v>115</v>
      </c>
      <c r="AK682" s="11" t="s">
        <v>66</v>
      </c>
      <c r="AL682" s="11">
        <v>4.5999999999999996</v>
      </c>
      <c r="AM682" s="10">
        <v>3.1</v>
      </c>
      <c r="AN682" s="9">
        <v>305</v>
      </c>
      <c r="AO682" s="8" t="s">
        <v>1900</v>
      </c>
      <c r="AP682" s="8">
        <v>1000</v>
      </c>
      <c r="AQ682" s="8">
        <v>29.1</v>
      </c>
      <c r="AR682" s="8">
        <v>32.9</v>
      </c>
      <c r="AS682" s="8">
        <v>31.5</v>
      </c>
      <c r="AT682" s="8">
        <v>43</v>
      </c>
      <c r="AU682" s="8">
        <v>13.5</v>
      </c>
      <c r="AV682" s="8">
        <v>52</v>
      </c>
      <c r="AW682" s="8">
        <v>35</v>
      </c>
      <c r="AX682" s="8">
        <v>264</v>
      </c>
      <c r="AY682" s="8">
        <v>67</v>
      </c>
      <c r="AZ682" s="8" t="s">
        <v>63</v>
      </c>
      <c r="BA682" s="7">
        <v>0</v>
      </c>
      <c r="BB682" s="9">
        <v>275</v>
      </c>
      <c r="BC682" s="8" t="s">
        <v>1899</v>
      </c>
      <c r="BD682" s="8">
        <v>4.2</v>
      </c>
      <c r="BE682" s="8">
        <v>4.5</v>
      </c>
      <c r="BF682" s="8">
        <v>5.7</v>
      </c>
      <c r="BG682" s="8">
        <v>8.4</v>
      </c>
      <c r="BH682" s="8">
        <v>11.5</v>
      </c>
      <c r="BI682" s="8">
        <v>14.2</v>
      </c>
      <c r="BJ682" s="8">
        <v>15.3</v>
      </c>
      <c r="BK682" s="8">
        <v>15.1</v>
      </c>
      <c r="BL682" s="8">
        <v>12.4</v>
      </c>
      <c r="BM682" s="8">
        <v>9.3000000000000007</v>
      </c>
      <c r="BN682" s="8">
        <v>7.3</v>
      </c>
      <c r="BO682" s="8">
        <v>5.4</v>
      </c>
      <c r="BP682" s="7">
        <v>9.4</v>
      </c>
    </row>
    <row r="683" spans="1:68" ht="14.25" customHeight="1">
      <c r="A683" s="12">
        <v>26</v>
      </c>
      <c r="B683" s="14">
        <v>201</v>
      </c>
      <c r="C683" s="13" t="s">
        <v>30</v>
      </c>
      <c r="D683" s="13" t="s">
        <v>537</v>
      </c>
      <c r="E683" s="13" t="s">
        <v>1896</v>
      </c>
      <c r="F683" s="11">
        <v>-36.799999999999997</v>
      </c>
      <c r="G683" s="11">
        <v>-32.799999999999997</v>
      </c>
      <c r="H683" s="11">
        <v>-25.6</v>
      </c>
      <c r="I683" s="11">
        <v>-13.1</v>
      </c>
      <c r="J683" s="11">
        <v>0.8</v>
      </c>
      <c r="K683" s="11">
        <v>10.199999999999999</v>
      </c>
      <c r="L683" s="11">
        <v>13</v>
      </c>
      <c r="M683" s="11">
        <v>9.9</v>
      </c>
      <c r="N683" s="11">
        <v>1.6</v>
      </c>
      <c r="O683" s="11">
        <v>-15.1</v>
      </c>
      <c r="P683" s="11">
        <v>-30.3</v>
      </c>
      <c r="Q683" s="11">
        <v>-36.5</v>
      </c>
      <c r="R683" s="10">
        <v>-12.4</v>
      </c>
      <c r="S683" s="12">
        <v>201</v>
      </c>
      <c r="T683" s="8" t="s">
        <v>1898</v>
      </c>
      <c r="U683" s="11">
        <v>-56</v>
      </c>
      <c r="V683" s="11">
        <v>-54</v>
      </c>
      <c r="W683" s="11">
        <v>-54</v>
      </c>
      <c r="X683" s="11">
        <v>-51</v>
      </c>
      <c r="Y683" s="11">
        <v>-42</v>
      </c>
      <c r="Z683" s="11">
        <v>-58</v>
      </c>
      <c r="AA683" s="11">
        <v>7.5</v>
      </c>
      <c r="AB683" s="11">
        <v>238</v>
      </c>
      <c r="AC683" s="11">
        <v>-24.1</v>
      </c>
      <c r="AD683" s="11">
        <v>289</v>
      </c>
      <c r="AE683" s="11">
        <v>-19</v>
      </c>
      <c r="AF683" s="11">
        <v>304</v>
      </c>
      <c r="AG683" s="11">
        <v>-17.7</v>
      </c>
      <c r="AH683" s="11">
        <v>73</v>
      </c>
      <c r="AI683" s="11">
        <v>72</v>
      </c>
      <c r="AJ683" s="11">
        <v>45</v>
      </c>
      <c r="AK683" s="11" t="s">
        <v>75</v>
      </c>
      <c r="AL683" s="11">
        <v>6.4</v>
      </c>
      <c r="AM683" s="10">
        <v>2.5</v>
      </c>
      <c r="AN683" s="9">
        <v>201</v>
      </c>
      <c r="AO683" s="8" t="s">
        <v>1897</v>
      </c>
      <c r="AP683" s="8">
        <v>930</v>
      </c>
      <c r="AQ683" s="8">
        <v>18.3</v>
      </c>
      <c r="AR683" s="8">
        <v>22.7</v>
      </c>
      <c r="AS683" s="8">
        <v>20.7</v>
      </c>
      <c r="AT683" s="8">
        <v>32</v>
      </c>
      <c r="AU683" s="8">
        <v>15.1</v>
      </c>
      <c r="AV683" s="8">
        <v>67</v>
      </c>
      <c r="AW683" s="8">
        <v>51</v>
      </c>
      <c r="AX683" s="8">
        <v>257</v>
      </c>
      <c r="AY683" s="8">
        <v>42</v>
      </c>
      <c r="AZ683" s="8" t="s">
        <v>25</v>
      </c>
      <c r="BA683" s="7">
        <v>0</v>
      </c>
      <c r="BB683" s="9">
        <v>177</v>
      </c>
      <c r="BC683" s="8" t="s">
        <v>1896</v>
      </c>
      <c r="BD683" s="8">
        <v>0.3</v>
      </c>
      <c r="BE683" s="8">
        <v>0.4</v>
      </c>
      <c r="BF683" s="8">
        <v>0.6</v>
      </c>
      <c r="BG683" s="8">
        <v>1.7</v>
      </c>
      <c r="BH683" s="8">
        <v>4.0999999999999996</v>
      </c>
      <c r="BI683" s="8">
        <v>7.5</v>
      </c>
      <c r="BJ683" s="8">
        <v>9.6999999999999993</v>
      </c>
      <c r="BK683" s="8">
        <v>8.5</v>
      </c>
      <c r="BL683" s="8">
        <v>5.0999999999999996</v>
      </c>
      <c r="BM683" s="8">
        <v>1.8</v>
      </c>
      <c r="BN683" s="8">
        <v>0.5</v>
      </c>
      <c r="BO683" s="8">
        <v>0.3</v>
      </c>
      <c r="BP683" s="7">
        <v>3.4</v>
      </c>
    </row>
    <row r="684" spans="1:68" ht="14.25" customHeight="1">
      <c r="A684" s="12">
        <v>27</v>
      </c>
      <c r="B684" s="14">
        <v>38</v>
      </c>
      <c r="C684" s="13" t="s">
        <v>30</v>
      </c>
      <c r="D684" s="13" t="s">
        <v>844</v>
      </c>
      <c r="E684" s="13" t="s">
        <v>1893</v>
      </c>
      <c r="F684" s="11">
        <v>-12.9</v>
      </c>
      <c r="G684" s="11">
        <v>-12.5</v>
      </c>
      <c r="H684" s="11">
        <v>-8</v>
      </c>
      <c r="I684" s="11">
        <v>-0.9</v>
      </c>
      <c r="J684" s="11">
        <v>6</v>
      </c>
      <c r="K684" s="11">
        <v>12.4</v>
      </c>
      <c r="L684" s="11">
        <v>15.6</v>
      </c>
      <c r="M684" s="11">
        <v>13.6</v>
      </c>
      <c r="N684" s="11">
        <v>7.9</v>
      </c>
      <c r="O684" s="11">
        <v>1.5</v>
      </c>
      <c r="P684" s="11">
        <v>-4.0999999999999996</v>
      </c>
      <c r="Q684" s="11">
        <v>-9.5</v>
      </c>
      <c r="R684" s="10">
        <v>0.8</v>
      </c>
      <c r="S684" s="12">
        <v>38</v>
      </c>
      <c r="T684" s="8" t="s">
        <v>1895</v>
      </c>
      <c r="U684" s="11">
        <v>-39</v>
      </c>
      <c r="V684" s="11">
        <v>-37</v>
      </c>
      <c r="W684" s="11">
        <v>-34</v>
      </c>
      <c r="X684" s="11">
        <v>-31</v>
      </c>
      <c r="Y684" s="11">
        <v>-18</v>
      </c>
      <c r="Z684" s="11">
        <v>-45</v>
      </c>
      <c r="AA684" s="11">
        <v>7.8</v>
      </c>
      <c r="AB684" s="11">
        <v>177</v>
      </c>
      <c r="AC684" s="11">
        <v>-8</v>
      </c>
      <c r="AD684" s="11">
        <v>253</v>
      </c>
      <c r="AE684" s="11">
        <v>-4.4000000000000004</v>
      </c>
      <c r="AF684" s="11">
        <v>273</v>
      </c>
      <c r="AG684" s="11">
        <v>-3.4</v>
      </c>
      <c r="AH684" s="11">
        <v>86</v>
      </c>
      <c r="AI684" s="11">
        <v>83</v>
      </c>
      <c r="AJ684" s="11">
        <v>188</v>
      </c>
      <c r="AK684" s="11" t="s">
        <v>27</v>
      </c>
      <c r="AL684" s="11">
        <v>5.9</v>
      </c>
      <c r="AM684" s="10">
        <v>3.7</v>
      </c>
      <c r="AN684" s="9">
        <v>38</v>
      </c>
      <c r="AO684" s="8" t="s">
        <v>1894</v>
      </c>
      <c r="AP684" s="8">
        <v>1010</v>
      </c>
      <c r="AQ684" s="8">
        <v>19.600000000000001</v>
      </c>
      <c r="AR684" s="8">
        <v>24</v>
      </c>
      <c r="AS684" s="8">
        <v>20.9</v>
      </c>
      <c r="AT684" s="8">
        <v>34</v>
      </c>
      <c r="AU684" s="8">
        <v>10.9</v>
      </c>
      <c r="AV684" s="8">
        <v>72</v>
      </c>
      <c r="AW684" s="8">
        <v>57</v>
      </c>
      <c r="AX684" s="8">
        <v>402</v>
      </c>
      <c r="AY684" s="8">
        <v>55</v>
      </c>
      <c r="AZ684" s="8" t="s">
        <v>54</v>
      </c>
      <c r="BA684" s="7">
        <v>4</v>
      </c>
      <c r="BB684" s="9">
        <v>24</v>
      </c>
      <c r="BC684" s="8" t="s">
        <v>1893</v>
      </c>
      <c r="BD684" s="8">
        <v>2.2999999999999998</v>
      </c>
      <c r="BE684" s="8">
        <v>2.4</v>
      </c>
      <c r="BF684" s="8">
        <v>3.1</v>
      </c>
      <c r="BG684" s="8">
        <v>4.5</v>
      </c>
      <c r="BH684" s="8">
        <v>6.4</v>
      </c>
      <c r="BI684" s="8">
        <v>10</v>
      </c>
      <c r="BJ684" s="8">
        <v>12.9</v>
      </c>
      <c r="BK684" s="8">
        <v>12.4</v>
      </c>
      <c r="BL684" s="8">
        <v>9.1999999999999993</v>
      </c>
      <c r="BM684" s="8">
        <v>6.1</v>
      </c>
      <c r="BN684" s="8">
        <v>4.3</v>
      </c>
      <c r="BO684" s="8">
        <v>3.1</v>
      </c>
      <c r="BP684" s="7">
        <v>6.4</v>
      </c>
    </row>
    <row r="685" spans="1:68" ht="14.25" customHeight="1">
      <c r="A685" s="12">
        <v>28</v>
      </c>
      <c r="B685" s="14">
        <v>14</v>
      </c>
      <c r="C685" s="13" t="s">
        <v>30</v>
      </c>
      <c r="D685" s="13" t="s">
        <v>99</v>
      </c>
      <c r="E685" s="13" t="s">
        <v>1890</v>
      </c>
      <c r="F685" s="11">
        <v>-26.7</v>
      </c>
      <c r="G685" s="11">
        <v>-21.8</v>
      </c>
      <c r="H685" s="11">
        <v>-10.7</v>
      </c>
      <c r="I685" s="11">
        <v>2.5</v>
      </c>
      <c r="J685" s="11">
        <v>11</v>
      </c>
      <c r="K685" s="11">
        <v>17.2</v>
      </c>
      <c r="L685" s="11">
        <v>20.9</v>
      </c>
      <c r="M685" s="11">
        <v>18.8</v>
      </c>
      <c r="N685" s="11">
        <v>11.9</v>
      </c>
      <c r="O685" s="11">
        <v>2.4</v>
      </c>
      <c r="P685" s="11">
        <v>-12</v>
      </c>
      <c r="Q685" s="11">
        <v>-23.6</v>
      </c>
      <c r="R685" s="10">
        <v>-0.8</v>
      </c>
      <c r="S685" s="12">
        <v>14</v>
      </c>
      <c r="T685" s="8" t="s">
        <v>1892</v>
      </c>
      <c r="U685" s="11">
        <v>-42</v>
      </c>
      <c r="V685" s="11">
        <v>-40</v>
      </c>
      <c r="W685" s="11">
        <v>-38</v>
      </c>
      <c r="X685" s="11">
        <v>-36</v>
      </c>
      <c r="Y685" s="11">
        <v>-32</v>
      </c>
      <c r="Z685" s="11">
        <v>-50</v>
      </c>
      <c r="AA685" s="11">
        <v>11.7</v>
      </c>
      <c r="AB685" s="11">
        <v>171</v>
      </c>
      <c r="AC685" s="11">
        <v>-16.399999999999999</v>
      </c>
      <c r="AD685" s="11">
        <v>219</v>
      </c>
      <c r="AE685" s="11">
        <v>-11.8</v>
      </c>
      <c r="AF685" s="11">
        <v>233</v>
      </c>
      <c r="AG685" s="11">
        <v>-10.6</v>
      </c>
      <c r="AH685" s="11">
        <v>77</v>
      </c>
      <c r="AI685" s="11">
        <v>73</v>
      </c>
      <c r="AJ685" s="11">
        <v>75</v>
      </c>
      <c r="AK685" s="11" t="s">
        <v>75</v>
      </c>
      <c r="AL685" s="11">
        <v>3.4</v>
      </c>
      <c r="AM685" s="10">
        <v>3.2</v>
      </c>
      <c r="AN685" s="9">
        <v>14</v>
      </c>
      <c r="AO685" s="8" t="s">
        <v>1891</v>
      </c>
      <c r="AP685" s="8">
        <v>990</v>
      </c>
      <c r="AQ685" s="8">
        <v>24.7</v>
      </c>
      <c r="AR685" s="8">
        <v>27.5</v>
      </c>
      <c r="AS685" s="8">
        <v>26.3</v>
      </c>
      <c r="AT685" s="8">
        <v>36</v>
      </c>
      <c r="AU685" s="8">
        <v>10.199999999999999</v>
      </c>
      <c r="AV685" s="8">
        <v>80</v>
      </c>
      <c r="AW685" s="8">
        <v>67</v>
      </c>
      <c r="AX685" s="8">
        <v>610</v>
      </c>
      <c r="AY685" s="8">
        <v>104</v>
      </c>
      <c r="AZ685" s="8" t="s">
        <v>25</v>
      </c>
      <c r="BA685" s="7">
        <v>0</v>
      </c>
      <c r="BB685" s="9">
        <v>13</v>
      </c>
      <c r="BC685" s="8" t="s">
        <v>1890</v>
      </c>
      <c r="BD685" s="8">
        <v>0.6</v>
      </c>
      <c r="BE685" s="8">
        <v>0.9</v>
      </c>
      <c r="BF685" s="8">
        <v>2.1</v>
      </c>
      <c r="BG685" s="8">
        <v>4.5</v>
      </c>
      <c r="BH685" s="8">
        <v>7.9</v>
      </c>
      <c r="BI685" s="8">
        <v>14.5</v>
      </c>
      <c r="BJ685" s="8">
        <v>19.7</v>
      </c>
      <c r="BK685" s="8">
        <v>17.600000000000001</v>
      </c>
      <c r="BL685" s="8">
        <v>10.8</v>
      </c>
      <c r="BM685" s="8">
        <v>4.9000000000000004</v>
      </c>
      <c r="BN685" s="8">
        <v>2</v>
      </c>
      <c r="BO685" s="8">
        <v>0.8</v>
      </c>
      <c r="BP685" s="7">
        <v>7.2</v>
      </c>
    </row>
    <row r="686" spans="1:68" ht="14.25" customHeight="1">
      <c r="A686" s="12">
        <v>29</v>
      </c>
      <c r="B686" s="14">
        <v>641</v>
      </c>
      <c r="C686" s="13" t="s">
        <v>52</v>
      </c>
      <c r="D686" s="13" t="s">
        <v>249</v>
      </c>
      <c r="E686" s="13" t="s">
        <v>1888</v>
      </c>
      <c r="F686" s="11">
        <v>-3.1</v>
      </c>
      <c r="G686" s="11">
        <v>-2</v>
      </c>
      <c r="H686" s="11">
        <v>2.2000000000000002</v>
      </c>
      <c r="I686" s="11">
        <v>9.6</v>
      </c>
      <c r="J686" s="11">
        <v>15.6</v>
      </c>
      <c r="K686" s="11">
        <v>20</v>
      </c>
      <c r="L686" s="11">
        <v>22.4</v>
      </c>
      <c r="M686" s="11">
        <v>21.6</v>
      </c>
      <c r="N686" s="11">
        <v>16.399999999999999</v>
      </c>
      <c r="O686" s="11">
        <v>9.6999999999999993</v>
      </c>
      <c r="P686" s="11">
        <v>4.4000000000000004</v>
      </c>
      <c r="Q686" s="11">
        <v>0.3</v>
      </c>
      <c r="R686" s="10">
        <v>9.8000000000000007</v>
      </c>
      <c r="S686" s="12">
        <v>630</v>
      </c>
      <c r="T686" s="8" t="s">
        <v>1888</v>
      </c>
      <c r="U686" s="11">
        <v>-26</v>
      </c>
      <c r="V686" s="11">
        <v>-23</v>
      </c>
      <c r="W686" s="11">
        <v>-22</v>
      </c>
      <c r="X686" s="11">
        <v>-20</v>
      </c>
      <c r="Y686" s="11">
        <v>-7</v>
      </c>
      <c r="Z686" s="11">
        <v>-31</v>
      </c>
      <c r="AA686" s="11" t="s">
        <v>49</v>
      </c>
      <c r="AB686" s="11">
        <v>75</v>
      </c>
      <c r="AC686" s="11">
        <v>-2.2000000000000002</v>
      </c>
      <c r="AD686" s="11">
        <v>165</v>
      </c>
      <c r="AE686" s="11">
        <v>1</v>
      </c>
      <c r="AF686" s="11">
        <v>182</v>
      </c>
      <c r="AG686" s="11">
        <v>1.8</v>
      </c>
      <c r="AH686" s="11" t="s">
        <v>49</v>
      </c>
      <c r="AI686" s="11" t="s">
        <v>49</v>
      </c>
      <c r="AJ686" s="11">
        <v>154</v>
      </c>
      <c r="AK686" s="11" t="s">
        <v>66</v>
      </c>
      <c r="AL686" s="11">
        <v>7.2</v>
      </c>
      <c r="AM686" s="10" t="s">
        <v>44</v>
      </c>
      <c r="AN686" s="9">
        <v>631</v>
      </c>
      <c r="AO686" s="8" t="s">
        <v>1889</v>
      </c>
      <c r="AP686" s="8">
        <v>1010</v>
      </c>
      <c r="AQ686" s="8">
        <v>31</v>
      </c>
      <c r="AR686" s="8">
        <v>27</v>
      </c>
      <c r="AS686" s="8">
        <v>28.6</v>
      </c>
      <c r="AT686" s="8">
        <v>40</v>
      </c>
      <c r="AU686" s="8" t="s">
        <v>46</v>
      </c>
      <c r="AV686" s="8" t="s">
        <v>45</v>
      </c>
      <c r="AW686" s="8" t="s">
        <v>44</v>
      </c>
      <c r="AX686" s="8" t="s">
        <v>44</v>
      </c>
      <c r="AY686" s="8">
        <v>123</v>
      </c>
      <c r="AZ686" s="8" t="s">
        <v>32</v>
      </c>
      <c r="BA686" s="7">
        <v>2.4</v>
      </c>
      <c r="BB686" s="9"/>
      <c r="BC686" s="8" t="s">
        <v>1888</v>
      </c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7"/>
    </row>
    <row r="687" spans="1:68" ht="14.25" customHeight="1">
      <c r="A687" s="12">
        <v>30</v>
      </c>
      <c r="B687" s="14">
        <v>496</v>
      </c>
      <c r="C687" s="13" t="s">
        <v>121</v>
      </c>
      <c r="D687" s="13" t="s">
        <v>1879</v>
      </c>
      <c r="E687" s="13" t="s">
        <v>1886</v>
      </c>
      <c r="F687" s="11">
        <v>-16.8</v>
      </c>
      <c r="G687" s="11">
        <v>-16.5</v>
      </c>
      <c r="H687" s="11">
        <v>-10.1</v>
      </c>
      <c r="I687" s="11">
        <v>3</v>
      </c>
      <c r="J687" s="11">
        <v>12.7</v>
      </c>
      <c r="K687" s="11">
        <v>18.2</v>
      </c>
      <c r="L687" s="11">
        <v>20.399999999999999</v>
      </c>
      <c r="M687" s="11">
        <v>17.8</v>
      </c>
      <c r="N687" s="11">
        <v>11.5</v>
      </c>
      <c r="O687" s="11">
        <v>2.6</v>
      </c>
      <c r="P687" s="11">
        <v>-7</v>
      </c>
      <c r="Q687" s="11">
        <v>-14</v>
      </c>
      <c r="R687" s="10">
        <v>1.8</v>
      </c>
      <c r="S687" s="12">
        <v>496</v>
      </c>
      <c r="T687" s="8" t="s">
        <v>1886</v>
      </c>
      <c r="U687" s="11">
        <v>-41</v>
      </c>
      <c r="V687" s="11">
        <v>-38</v>
      </c>
      <c r="W687" s="11">
        <v>-36</v>
      </c>
      <c r="X687" s="11">
        <v>-33</v>
      </c>
      <c r="Y687" s="11">
        <v>-23</v>
      </c>
      <c r="Z687" s="11">
        <v>-52</v>
      </c>
      <c r="AA687" s="11">
        <v>9</v>
      </c>
      <c r="AB687" s="11">
        <v>167</v>
      </c>
      <c r="AC687" s="11">
        <v>-11.7</v>
      </c>
      <c r="AD687" s="11">
        <v>215</v>
      </c>
      <c r="AE687" s="11">
        <v>-8.1</v>
      </c>
      <c r="AF687" s="11">
        <v>227</v>
      </c>
      <c r="AG687" s="11">
        <v>-7.2</v>
      </c>
      <c r="AH687" s="11">
        <v>80</v>
      </c>
      <c r="AI687" s="11">
        <v>77</v>
      </c>
      <c r="AJ687" s="11">
        <v>88</v>
      </c>
      <c r="AK687" s="11" t="s">
        <v>39</v>
      </c>
      <c r="AL687" s="11">
        <v>5.9</v>
      </c>
      <c r="AM687" s="10">
        <v>5.2</v>
      </c>
      <c r="AN687" s="9">
        <v>496</v>
      </c>
      <c r="AO687" s="8" t="s">
        <v>1887</v>
      </c>
      <c r="AP687" s="8">
        <v>980</v>
      </c>
      <c r="AQ687" s="8">
        <v>25.5</v>
      </c>
      <c r="AR687" s="8">
        <v>29.5</v>
      </c>
      <c r="AS687" s="8">
        <v>27</v>
      </c>
      <c r="AT687" s="8">
        <v>39</v>
      </c>
      <c r="AU687" s="8">
        <v>13.6</v>
      </c>
      <c r="AV687" s="8">
        <v>57</v>
      </c>
      <c r="AW687" s="8">
        <v>40</v>
      </c>
      <c r="AX687" s="8">
        <v>238</v>
      </c>
      <c r="AY687" s="8" t="s">
        <v>64</v>
      </c>
      <c r="AZ687" s="8" t="s">
        <v>37</v>
      </c>
      <c r="BA687" s="7">
        <v>3.7</v>
      </c>
      <c r="BB687" s="9"/>
      <c r="BC687" s="8" t="s">
        <v>1886</v>
      </c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7"/>
    </row>
    <row r="688" spans="1:68" ht="14.25" customHeight="1">
      <c r="A688" s="12">
        <v>31</v>
      </c>
      <c r="B688" s="14">
        <v>257</v>
      </c>
      <c r="C688" s="13" t="s">
        <v>30</v>
      </c>
      <c r="D688" s="13" t="s">
        <v>154</v>
      </c>
      <c r="E688" s="13" t="s">
        <v>1883</v>
      </c>
      <c r="F688" s="11">
        <v>-17.7</v>
      </c>
      <c r="G688" s="11">
        <v>-13.6</v>
      </c>
      <c r="H688" s="11">
        <v>-4.8</v>
      </c>
      <c r="I688" s="11">
        <v>4.4000000000000004</v>
      </c>
      <c r="J688" s="11">
        <v>11.6</v>
      </c>
      <c r="K688" s="11">
        <v>16.5</v>
      </c>
      <c r="L688" s="11">
        <v>20.6</v>
      </c>
      <c r="M688" s="11">
        <v>20.9</v>
      </c>
      <c r="N688" s="11">
        <v>14.9</v>
      </c>
      <c r="O688" s="11">
        <v>6.7</v>
      </c>
      <c r="P688" s="11">
        <v>-4.3</v>
      </c>
      <c r="Q688" s="11">
        <v>-13.9</v>
      </c>
      <c r="R688" s="10">
        <v>3.4</v>
      </c>
      <c r="S688" s="12">
        <v>257</v>
      </c>
      <c r="T688" s="8" t="s">
        <v>1885</v>
      </c>
      <c r="U688" s="11">
        <v>-30</v>
      </c>
      <c r="V688" s="11">
        <v>-29</v>
      </c>
      <c r="W688" s="11">
        <v>-28</v>
      </c>
      <c r="X688" s="11">
        <v>-26</v>
      </c>
      <c r="Y688" s="11">
        <v>-23</v>
      </c>
      <c r="Z688" s="11">
        <v>-40</v>
      </c>
      <c r="AA688" s="11">
        <v>10.6</v>
      </c>
      <c r="AB688" s="11">
        <v>148</v>
      </c>
      <c r="AC688" s="11">
        <v>-10.5</v>
      </c>
      <c r="AD688" s="11">
        <v>202</v>
      </c>
      <c r="AE688" s="11">
        <v>-6.6</v>
      </c>
      <c r="AF688" s="11">
        <v>218</v>
      </c>
      <c r="AG688" s="11">
        <v>-5.5</v>
      </c>
      <c r="AH688" s="11">
        <v>68</v>
      </c>
      <c r="AI688" s="11">
        <v>63</v>
      </c>
      <c r="AJ688" s="11">
        <v>47</v>
      </c>
      <c r="AK688" s="11" t="s">
        <v>39</v>
      </c>
      <c r="AL688" s="11" t="s">
        <v>44</v>
      </c>
      <c r="AM688" s="10">
        <v>3.4</v>
      </c>
      <c r="AN688" s="9">
        <v>257</v>
      </c>
      <c r="AO688" s="8" t="s">
        <v>1884</v>
      </c>
      <c r="AP688" s="8">
        <v>1000</v>
      </c>
      <c r="AQ688" s="8">
        <v>23.1</v>
      </c>
      <c r="AR688" s="8">
        <v>27.2</v>
      </c>
      <c r="AS688" s="8">
        <v>25.5</v>
      </c>
      <c r="AT688" s="8">
        <v>37</v>
      </c>
      <c r="AU688" s="8">
        <v>8.6999999999999993</v>
      </c>
      <c r="AV688" s="8">
        <v>81</v>
      </c>
      <c r="AW688" s="8">
        <v>70</v>
      </c>
      <c r="AX688" s="8">
        <v>508</v>
      </c>
      <c r="AY688" s="8">
        <v>109</v>
      </c>
      <c r="AZ688" s="8" t="s">
        <v>151</v>
      </c>
      <c r="BA688" s="7" t="s">
        <v>46</v>
      </c>
      <c r="BB688" s="9">
        <v>228</v>
      </c>
      <c r="BC688" s="8" t="s">
        <v>1883</v>
      </c>
      <c r="BD688" s="8">
        <v>1.2</v>
      </c>
      <c r="BE688" s="8">
        <v>1.6</v>
      </c>
      <c r="BF688" s="8">
        <v>3</v>
      </c>
      <c r="BG688" s="8">
        <v>5.3</v>
      </c>
      <c r="BH688" s="8">
        <v>9</v>
      </c>
      <c r="BI688" s="8">
        <v>14.6</v>
      </c>
      <c r="BJ688" s="8">
        <v>19.8</v>
      </c>
      <c r="BK688" s="8">
        <v>20</v>
      </c>
      <c r="BL688" s="8">
        <v>12.8</v>
      </c>
      <c r="BM688" s="8">
        <v>6.8</v>
      </c>
      <c r="BN688" s="8">
        <v>3.2</v>
      </c>
      <c r="BO688" s="8">
        <v>1.5</v>
      </c>
      <c r="BP688" s="7">
        <v>8.1999999999999993</v>
      </c>
    </row>
    <row r="689" spans="1:68" ht="14.25" customHeight="1">
      <c r="A689" s="12">
        <v>32</v>
      </c>
      <c r="B689" s="14">
        <v>45</v>
      </c>
      <c r="C689" s="13" t="s">
        <v>30</v>
      </c>
      <c r="D689" s="13" t="s">
        <v>1674</v>
      </c>
      <c r="E689" s="13" t="s">
        <v>1880</v>
      </c>
      <c r="F689" s="11">
        <v>-6.7</v>
      </c>
      <c r="G689" s="11">
        <v>-5.6</v>
      </c>
      <c r="H689" s="11">
        <v>0.4</v>
      </c>
      <c r="I689" s="11">
        <v>9.9</v>
      </c>
      <c r="J689" s="11">
        <v>18</v>
      </c>
      <c r="K689" s="11">
        <v>22.8</v>
      </c>
      <c r="L689" s="11">
        <v>25.3</v>
      </c>
      <c r="M689" s="11">
        <v>23.6</v>
      </c>
      <c r="N689" s="11">
        <v>17.3</v>
      </c>
      <c r="O689" s="11">
        <v>9.6</v>
      </c>
      <c r="P689" s="11">
        <v>2.4</v>
      </c>
      <c r="Q689" s="11">
        <v>-3.2</v>
      </c>
      <c r="R689" s="10">
        <v>9.5</v>
      </c>
      <c r="S689" s="12">
        <v>45</v>
      </c>
      <c r="T689" s="8" t="s">
        <v>1882</v>
      </c>
      <c r="U689" s="11">
        <v>-27</v>
      </c>
      <c r="V689" s="11">
        <v>-26</v>
      </c>
      <c r="W689" s="11">
        <v>-24</v>
      </c>
      <c r="X689" s="11">
        <v>-23</v>
      </c>
      <c r="Y689" s="11">
        <v>-12</v>
      </c>
      <c r="Z689" s="11">
        <v>-33</v>
      </c>
      <c r="AA689" s="11">
        <v>7.3</v>
      </c>
      <c r="AB689" s="11">
        <v>106</v>
      </c>
      <c r="AC689" s="11">
        <v>-4.2</v>
      </c>
      <c r="AD689" s="11">
        <v>167</v>
      </c>
      <c r="AE689" s="11">
        <v>-1.2</v>
      </c>
      <c r="AF689" s="11">
        <v>184</v>
      </c>
      <c r="AG689" s="11">
        <v>-0.3</v>
      </c>
      <c r="AH689" s="11">
        <v>84</v>
      </c>
      <c r="AI689" s="11">
        <v>71</v>
      </c>
      <c r="AJ689" s="11">
        <v>82</v>
      </c>
      <c r="AK689" s="11" t="s">
        <v>66</v>
      </c>
      <c r="AL689" s="11">
        <v>4.8</v>
      </c>
      <c r="AM689" s="10">
        <v>4.3</v>
      </c>
      <c r="AN689" s="9">
        <v>45</v>
      </c>
      <c r="AO689" s="8" t="s">
        <v>1881</v>
      </c>
      <c r="AP689" s="8">
        <v>1015</v>
      </c>
      <c r="AQ689" s="8">
        <v>28.4</v>
      </c>
      <c r="AR689" s="8">
        <v>32.1</v>
      </c>
      <c r="AS689" s="8">
        <v>31</v>
      </c>
      <c r="AT689" s="8">
        <v>40</v>
      </c>
      <c r="AU689" s="8">
        <v>11.1</v>
      </c>
      <c r="AV689" s="8">
        <v>55</v>
      </c>
      <c r="AW689" s="8">
        <v>36</v>
      </c>
      <c r="AX689" s="8">
        <v>126</v>
      </c>
      <c r="AY689" s="8">
        <v>73</v>
      </c>
      <c r="AZ689" s="8" t="s">
        <v>63</v>
      </c>
      <c r="BA689" s="7">
        <v>3.6</v>
      </c>
      <c r="BB689" s="9">
        <v>31</v>
      </c>
      <c r="BC689" s="8" t="s">
        <v>1880</v>
      </c>
      <c r="BD689" s="8">
        <v>3.6</v>
      </c>
      <c r="BE689" s="8">
        <v>3.7</v>
      </c>
      <c r="BF689" s="8">
        <v>5</v>
      </c>
      <c r="BG689" s="8">
        <v>7.5</v>
      </c>
      <c r="BH689" s="8">
        <v>11.3</v>
      </c>
      <c r="BI689" s="8">
        <v>15</v>
      </c>
      <c r="BJ689" s="8">
        <v>17.100000000000001</v>
      </c>
      <c r="BK689" s="8">
        <v>16.2</v>
      </c>
      <c r="BL689" s="8">
        <v>12.3</v>
      </c>
      <c r="BM689" s="8">
        <v>8.6</v>
      </c>
      <c r="BN689" s="8">
        <v>6.3</v>
      </c>
      <c r="BO689" s="8">
        <v>4.5999999999999996</v>
      </c>
      <c r="BP689" s="7">
        <v>9.3000000000000007</v>
      </c>
    </row>
    <row r="690" spans="1:68" ht="14.25" customHeight="1">
      <c r="A690" s="12">
        <v>33</v>
      </c>
      <c r="B690" s="14">
        <v>497</v>
      </c>
      <c r="C690" s="13" t="s">
        <v>121</v>
      </c>
      <c r="D690" s="13" t="s">
        <v>1879</v>
      </c>
      <c r="E690" s="13" t="s">
        <v>1877</v>
      </c>
      <c r="F690" s="11">
        <v>-17.899999999999999</v>
      </c>
      <c r="G690" s="11">
        <v>-17.5</v>
      </c>
      <c r="H690" s="11">
        <v>-11.1</v>
      </c>
      <c r="I690" s="11">
        <v>2.6</v>
      </c>
      <c r="J690" s="11">
        <v>12.4</v>
      </c>
      <c r="K690" s="11">
        <v>18.100000000000001</v>
      </c>
      <c r="L690" s="11">
        <v>20.2</v>
      </c>
      <c r="M690" s="11">
        <v>17.600000000000001</v>
      </c>
      <c r="N690" s="11">
        <v>11.4</v>
      </c>
      <c r="O690" s="11">
        <v>2.2999999999999998</v>
      </c>
      <c r="P690" s="11">
        <v>-7.5</v>
      </c>
      <c r="Q690" s="11">
        <v>-14.9</v>
      </c>
      <c r="R690" s="10">
        <v>1.3</v>
      </c>
      <c r="S690" s="12">
        <v>497</v>
      </c>
      <c r="T690" s="8" t="s">
        <v>1877</v>
      </c>
      <c r="U690" s="11">
        <v>-40</v>
      </c>
      <c r="V690" s="11">
        <v>-39</v>
      </c>
      <c r="W690" s="11">
        <v>-37</v>
      </c>
      <c r="X690" s="11">
        <v>-34</v>
      </c>
      <c r="Y690" s="11">
        <v>-25</v>
      </c>
      <c r="Z690" s="11">
        <v>-57</v>
      </c>
      <c r="AA690" s="11">
        <v>9.6</v>
      </c>
      <c r="AB690" s="11">
        <v>169</v>
      </c>
      <c r="AC690" s="11">
        <v>-11.7</v>
      </c>
      <c r="AD690" s="11">
        <v>215</v>
      </c>
      <c r="AE690" s="11">
        <v>-8.9</v>
      </c>
      <c r="AF690" s="11">
        <v>229</v>
      </c>
      <c r="AG690" s="11">
        <v>-7.7</v>
      </c>
      <c r="AH690" s="11">
        <v>81</v>
      </c>
      <c r="AI690" s="11">
        <v>78</v>
      </c>
      <c r="AJ690" s="11">
        <v>92</v>
      </c>
      <c r="AK690" s="11" t="s">
        <v>39</v>
      </c>
      <c r="AL690" s="11">
        <v>7.8</v>
      </c>
      <c r="AM690" s="10">
        <v>5.5</v>
      </c>
      <c r="AN690" s="9">
        <v>497</v>
      </c>
      <c r="AO690" s="8" t="s">
        <v>1878</v>
      </c>
      <c r="AP690" s="8" t="s">
        <v>64</v>
      </c>
      <c r="AQ690" s="8">
        <v>25.9</v>
      </c>
      <c r="AR690" s="8">
        <v>29.9</v>
      </c>
      <c r="AS690" s="8">
        <v>26.9</v>
      </c>
      <c r="AT690" s="8">
        <v>40</v>
      </c>
      <c r="AU690" s="8">
        <v>14.1</v>
      </c>
      <c r="AV690" s="8">
        <v>59</v>
      </c>
      <c r="AW690" s="8">
        <v>40</v>
      </c>
      <c r="AX690" s="8">
        <v>218</v>
      </c>
      <c r="AY690" s="8" t="s">
        <v>64</v>
      </c>
      <c r="AZ690" s="8" t="s">
        <v>54</v>
      </c>
      <c r="BA690" s="7">
        <v>4.7</v>
      </c>
      <c r="BB690" s="9"/>
      <c r="BC690" s="8" t="s">
        <v>1877</v>
      </c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7"/>
    </row>
    <row r="691" spans="1:68" ht="14.25" customHeight="1">
      <c r="A691" s="12">
        <v>34</v>
      </c>
      <c r="B691" s="14">
        <v>504</v>
      </c>
      <c r="C691" s="13" t="s">
        <v>121</v>
      </c>
      <c r="D691" s="13" t="s">
        <v>1608</v>
      </c>
      <c r="E691" s="13" t="s">
        <v>1874</v>
      </c>
      <c r="F691" s="11">
        <v>-9.6</v>
      </c>
      <c r="G691" s="11">
        <v>-8.6999999999999993</v>
      </c>
      <c r="H691" s="11">
        <v>-1.5</v>
      </c>
      <c r="I691" s="11">
        <v>9.6</v>
      </c>
      <c r="J691" s="11">
        <v>18.2</v>
      </c>
      <c r="K691" s="11">
        <v>23.4</v>
      </c>
      <c r="L691" s="11">
        <v>25.7</v>
      </c>
      <c r="M691" s="11">
        <v>23.7</v>
      </c>
      <c r="N691" s="11">
        <v>16.8</v>
      </c>
      <c r="O691" s="11">
        <v>8.1999999999999993</v>
      </c>
      <c r="P691" s="11">
        <v>0.4</v>
      </c>
      <c r="Q691" s="11">
        <v>-5.6</v>
      </c>
      <c r="R691" s="10">
        <v>8.4</v>
      </c>
      <c r="S691" s="12">
        <v>504</v>
      </c>
      <c r="T691" s="8" t="s">
        <v>1874</v>
      </c>
      <c r="U691" s="11">
        <v>-33</v>
      </c>
      <c r="V691" s="11">
        <v>-30</v>
      </c>
      <c r="W691" s="11">
        <v>-28</v>
      </c>
      <c r="X691" s="11">
        <v>-25</v>
      </c>
      <c r="Y691" s="11">
        <v>-8</v>
      </c>
      <c r="Z691" s="11">
        <v>-38</v>
      </c>
      <c r="AA691" s="11">
        <v>8.1</v>
      </c>
      <c r="AB691" s="11">
        <v>125</v>
      </c>
      <c r="AC691" s="11">
        <v>-6.4</v>
      </c>
      <c r="AD691" s="11">
        <v>177</v>
      </c>
      <c r="AE691" s="11">
        <v>-3.4</v>
      </c>
      <c r="AF691" s="11">
        <v>191</v>
      </c>
      <c r="AG691" s="11">
        <v>-2.4</v>
      </c>
      <c r="AH691" s="11">
        <v>84</v>
      </c>
      <c r="AI691" s="11">
        <v>75</v>
      </c>
      <c r="AJ691" s="11">
        <v>77</v>
      </c>
      <c r="AK691" s="11" t="s">
        <v>66</v>
      </c>
      <c r="AL691" s="11">
        <v>6</v>
      </c>
      <c r="AM691" s="10">
        <v>5.8</v>
      </c>
      <c r="AN691" s="9">
        <v>504</v>
      </c>
      <c r="AO691" s="8" t="s">
        <v>1876</v>
      </c>
      <c r="AP691" s="8">
        <v>1020</v>
      </c>
      <c r="AQ691" s="8">
        <v>31.2</v>
      </c>
      <c r="AR691" s="8">
        <v>34.200000000000003</v>
      </c>
      <c r="AS691" s="8">
        <v>32.1</v>
      </c>
      <c r="AT691" s="8">
        <v>43</v>
      </c>
      <c r="AU691" s="8">
        <v>13.1</v>
      </c>
      <c r="AV691" s="8">
        <v>46</v>
      </c>
      <c r="AW691" s="8">
        <v>29</v>
      </c>
      <c r="AX691" s="8">
        <v>113</v>
      </c>
      <c r="AY691" s="8" t="s">
        <v>64</v>
      </c>
      <c r="AZ691" s="8" t="s">
        <v>1875</v>
      </c>
      <c r="BA691" s="7">
        <v>4.7</v>
      </c>
      <c r="BB691" s="9"/>
      <c r="BC691" s="8" t="s">
        <v>1874</v>
      </c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7"/>
    </row>
    <row r="692" spans="1:68" ht="14.25" customHeight="1">
      <c r="A692" s="12">
        <v>35</v>
      </c>
      <c r="B692" s="14">
        <v>478</v>
      </c>
      <c r="C692" s="13" t="s">
        <v>105</v>
      </c>
      <c r="D692" s="13" t="s">
        <v>105</v>
      </c>
      <c r="E692" s="13" t="s">
        <v>1873</v>
      </c>
      <c r="F692" s="11">
        <v>-6.6</v>
      </c>
      <c r="G692" s="11">
        <v>-5.5</v>
      </c>
      <c r="H692" s="11">
        <v>-1.4</v>
      </c>
      <c r="I692" s="11">
        <v>5.2</v>
      </c>
      <c r="J692" s="11">
        <v>9.6999999999999993</v>
      </c>
      <c r="K692" s="11">
        <v>12.6</v>
      </c>
      <c r="L692" s="11">
        <v>15.8</v>
      </c>
      <c r="M692" s="11">
        <v>15.5</v>
      </c>
      <c r="N692" s="11">
        <v>12</v>
      </c>
      <c r="O692" s="11">
        <v>6.8</v>
      </c>
      <c r="P692" s="11">
        <v>1.6</v>
      </c>
      <c r="Q692" s="11">
        <v>-3.7</v>
      </c>
      <c r="R692" s="10">
        <v>5.2</v>
      </c>
      <c r="S692" s="12">
        <v>478</v>
      </c>
      <c r="T692" s="8" t="s">
        <v>1871</v>
      </c>
      <c r="U692" s="11">
        <v>-24</v>
      </c>
      <c r="V692" s="11">
        <v>-21</v>
      </c>
      <c r="W692" s="11">
        <v>-18</v>
      </c>
      <c r="X692" s="11">
        <v>-15</v>
      </c>
      <c r="Y692" s="11">
        <v>-8</v>
      </c>
      <c r="Z692" s="11">
        <v>-38</v>
      </c>
      <c r="AA692" s="11">
        <v>9.9</v>
      </c>
      <c r="AB692" s="11">
        <v>117</v>
      </c>
      <c r="AC692" s="11">
        <v>-4.5</v>
      </c>
      <c r="AD692" s="11">
        <v>206</v>
      </c>
      <c r="AE692" s="11">
        <v>-0.8</v>
      </c>
      <c r="AF692" s="11">
        <v>233</v>
      </c>
      <c r="AG692" s="11">
        <v>0.4</v>
      </c>
      <c r="AH692" s="11" t="s">
        <v>49</v>
      </c>
      <c r="AI692" s="11">
        <v>61</v>
      </c>
      <c r="AJ692" s="11">
        <v>152</v>
      </c>
      <c r="AK692" s="11" t="s">
        <v>27</v>
      </c>
      <c r="AL692" s="11" t="s">
        <v>44</v>
      </c>
      <c r="AM692" s="10">
        <v>5.0999999999999996</v>
      </c>
      <c r="AN692" s="9">
        <v>478</v>
      </c>
      <c r="AO692" s="8" t="s">
        <v>1872</v>
      </c>
      <c r="AP692" s="8">
        <v>825</v>
      </c>
      <c r="AQ692" s="8">
        <v>20</v>
      </c>
      <c r="AR692" s="8">
        <v>25</v>
      </c>
      <c r="AS692" s="8">
        <v>21.7</v>
      </c>
      <c r="AT692" s="8">
        <v>37</v>
      </c>
      <c r="AU692" s="8">
        <v>14.6</v>
      </c>
      <c r="AV692" s="8">
        <v>72</v>
      </c>
      <c r="AW692" s="8">
        <v>47</v>
      </c>
      <c r="AX692" s="8" t="s">
        <v>44</v>
      </c>
      <c r="AY692" s="8">
        <v>63</v>
      </c>
      <c r="AZ692" s="8" t="s">
        <v>32</v>
      </c>
      <c r="BA692" s="7">
        <v>1.5</v>
      </c>
      <c r="BB692" s="9"/>
      <c r="BC692" s="8" t="s">
        <v>1871</v>
      </c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7"/>
    </row>
    <row r="693" spans="1:68" ht="14.25" customHeight="1">
      <c r="A693" s="12">
        <v>36</v>
      </c>
      <c r="B693" s="14">
        <v>170</v>
      </c>
      <c r="C693" s="13" t="s">
        <v>30</v>
      </c>
      <c r="D693" s="13" t="s">
        <v>29</v>
      </c>
      <c r="E693" s="13" t="s">
        <v>1868</v>
      </c>
      <c r="F693" s="11">
        <v>-17.7</v>
      </c>
      <c r="G693" s="11">
        <v>-15.6</v>
      </c>
      <c r="H693" s="11">
        <v>-9.1</v>
      </c>
      <c r="I693" s="11">
        <v>0.4</v>
      </c>
      <c r="J693" s="11">
        <v>8.6</v>
      </c>
      <c r="K693" s="11">
        <v>15.6</v>
      </c>
      <c r="L693" s="11">
        <v>17.899999999999999</v>
      </c>
      <c r="M693" s="11">
        <v>15</v>
      </c>
      <c r="N693" s="11">
        <v>9</v>
      </c>
      <c r="O693" s="11">
        <v>0.6</v>
      </c>
      <c r="P693" s="11">
        <v>-9.3000000000000007</v>
      </c>
      <c r="Q693" s="11">
        <v>-16.3</v>
      </c>
      <c r="R693" s="10">
        <v>-0.1</v>
      </c>
      <c r="S693" s="12">
        <v>170</v>
      </c>
      <c r="T693" s="8" t="s">
        <v>1870</v>
      </c>
      <c r="U693" s="11">
        <v>-49</v>
      </c>
      <c r="V693" s="11">
        <v>-45</v>
      </c>
      <c r="W693" s="11">
        <v>-46</v>
      </c>
      <c r="X693" s="11">
        <v>-41</v>
      </c>
      <c r="Y693" s="11">
        <v>-23</v>
      </c>
      <c r="Z693" s="11">
        <v>-60</v>
      </c>
      <c r="AA693" s="11">
        <v>9.1999999999999993</v>
      </c>
      <c r="AB693" s="11">
        <v>178</v>
      </c>
      <c r="AC693" s="11">
        <v>-11.4</v>
      </c>
      <c r="AD693" s="11">
        <v>237</v>
      </c>
      <c r="AE693" s="11">
        <v>-7.6</v>
      </c>
      <c r="AF693" s="11">
        <v>254</v>
      </c>
      <c r="AG693" s="11">
        <v>-6.5</v>
      </c>
      <c r="AH693" s="11">
        <v>75</v>
      </c>
      <c r="AI693" s="11">
        <v>73</v>
      </c>
      <c r="AJ693" s="11">
        <v>102</v>
      </c>
      <c r="AK693" s="11" t="s">
        <v>39</v>
      </c>
      <c r="AL693" s="11">
        <v>5.7</v>
      </c>
      <c r="AM693" s="10">
        <v>4.7</v>
      </c>
      <c r="AN693" s="9">
        <v>170</v>
      </c>
      <c r="AO693" s="8" t="s">
        <v>1869</v>
      </c>
      <c r="AP693" s="8">
        <v>980</v>
      </c>
      <c r="AQ693" s="8">
        <v>21.8</v>
      </c>
      <c r="AR693" s="8">
        <v>26</v>
      </c>
      <c r="AS693" s="8">
        <v>24.2</v>
      </c>
      <c r="AT693" s="8">
        <v>39</v>
      </c>
      <c r="AU693" s="8">
        <v>12.4</v>
      </c>
      <c r="AV693" s="8">
        <v>70</v>
      </c>
      <c r="AW693" s="8">
        <v>55</v>
      </c>
      <c r="AX693" s="8">
        <v>366</v>
      </c>
      <c r="AY693" s="8">
        <v>99</v>
      </c>
      <c r="AZ693" s="8" t="s">
        <v>43</v>
      </c>
      <c r="BA693" s="7">
        <v>3.2</v>
      </c>
      <c r="BB693" s="9">
        <v>149</v>
      </c>
      <c r="BC693" s="8" t="s">
        <v>1868</v>
      </c>
      <c r="BD693" s="8">
        <v>1.5</v>
      </c>
      <c r="BE693" s="8">
        <v>1.6</v>
      </c>
      <c r="BF693" s="8">
        <v>2.5</v>
      </c>
      <c r="BG693" s="8">
        <v>4.3</v>
      </c>
      <c r="BH693" s="8">
        <v>6.3</v>
      </c>
      <c r="BI693" s="8">
        <v>11.2</v>
      </c>
      <c r="BJ693" s="8">
        <v>14.5</v>
      </c>
      <c r="BK693" s="8">
        <v>12.7</v>
      </c>
      <c r="BL693" s="8">
        <v>8.4</v>
      </c>
      <c r="BM693" s="8">
        <v>4.9000000000000004</v>
      </c>
      <c r="BN693" s="8">
        <v>2.7</v>
      </c>
      <c r="BO693" s="8">
        <v>1.7</v>
      </c>
      <c r="BP693" s="7">
        <v>6</v>
      </c>
    </row>
    <row r="694" spans="1:68" ht="14.25" customHeight="1">
      <c r="A694" s="12">
        <v>37</v>
      </c>
      <c r="B694" s="14">
        <v>550</v>
      </c>
      <c r="C694" s="17" t="s">
        <v>208</v>
      </c>
      <c r="D694" s="17" t="s">
        <v>469</v>
      </c>
      <c r="E694" s="13" t="s">
        <v>1866</v>
      </c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0"/>
      <c r="S694" s="16">
        <v>550</v>
      </c>
      <c r="T694" s="8" t="s">
        <v>1866</v>
      </c>
      <c r="U694" s="11">
        <v>-19</v>
      </c>
      <c r="V694" s="11">
        <v>-16</v>
      </c>
      <c r="W694" s="11">
        <v>-15</v>
      </c>
      <c r="X694" s="11">
        <v>-11</v>
      </c>
      <c r="Y694" s="11">
        <v>-2</v>
      </c>
      <c r="Z694" s="11">
        <v>-24</v>
      </c>
      <c r="AA694" s="11">
        <v>8.8000000000000007</v>
      </c>
      <c r="AB694" s="11">
        <v>0</v>
      </c>
      <c r="AC694" s="11" t="s">
        <v>50</v>
      </c>
      <c r="AD694" s="11">
        <v>108</v>
      </c>
      <c r="AE694" s="11">
        <v>4</v>
      </c>
      <c r="AF694" s="11">
        <v>128</v>
      </c>
      <c r="AG694" s="11">
        <v>4.8</v>
      </c>
      <c r="AH694" s="11" t="s">
        <v>49</v>
      </c>
      <c r="AI694" s="11">
        <v>69</v>
      </c>
      <c r="AJ694" s="11">
        <v>139</v>
      </c>
      <c r="AK694" s="11" t="s">
        <v>66</v>
      </c>
      <c r="AL694" s="11">
        <v>2.2999999999999998</v>
      </c>
      <c r="AM694" s="10" t="s">
        <v>44</v>
      </c>
      <c r="AN694" s="9">
        <v>551</v>
      </c>
      <c r="AO694" s="8" t="s">
        <v>1867</v>
      </c>
      <c r="AP694" s="8">
        <v>990</v>
      </c>
      <c r="AQ694" s="8">
        <v>40</v>
      </c>
      <c r="AR694" s="8">
        <v>35</v>
      </c>
      <c r="AS694" s="8">
        <v>38.200000000000003</v>
      </c>
      <c r="AT694" s="8">
        <v>48</v>
      </c>
      <c r="AU694" s="8">
        <v>15.1</v>
      </c>
      <c r="AV694" s="8">
        <v>35</v>
      </c>
      <c r="AW694" s="8">
        <v>22</v>
      </c>
      <c r="AX694" s="8">
        <v>104</v>
      </c>
      <c r="AY694" s="8">
        <v>80</v>
      </c>
      <c r="AZ694" s="8" t="s">
        <v>54</v>
      </c>
      <c r="BA694" s="7">
        <v>1.2</v>
      </c>
      <c r="BB694" s="9"/>
      <c r="BC694" s="8" t="s">
        <v>1866</v>
      </c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7"/>
    </row>
    <row r="695" spans="1:68" ht="14.25" customHeight="1">
      <c r="A695" s="12">
        <v>38</v>
      </c>
      <c r="B695" s="14">
        <v>529</v>
      </c>
      <c r="C695" s="13" t="s">
        <v>121</v>
      </c>
      <c r="D695" s="13" t="s">
        <v>638</v>
      </c>
      <c r="E695" s="13" t="s">
        <v>1864</v>
      </c>
      <c r="F695" s="11">
        <v>-16.5</v>
      </c>
      <c r="G695" s="11">
        <v>-15.8</v>
      </c>
      <c r="H695" s="11">
        <v>-8</v>
      </c>
      <c r="I695" s="11">
        <v>5</v>
      </c>
      <c r="J695" s="11">
        <v>12.7</v>
      </c>
      <c r="K695" s="11">
        <v>18.3</v>
      </c>
      <c r="L695" s="11">
        <v>20.7</v>
      </c>
      <c r="M695" s="11">
        <v>18.5</v>
      </c>
      <c r="N695" s="11">
        <v>12.1</v>
      </c>
      <c r="O695" s="11">
        <v>3.6</v>
      </c>
      <c r="P695" s="11">
        <v>-7.2</v>
      </c>
      <c r="Q695" s="11">
        <v>-14.1</v>
      </c>
      <c r="R695" s="10">
        <v>2.4</v>
      </c>
      <c r="S695" s="12">
        <v>529</v>
      </c>
      <c r="T695" s="8" t="s">
        <v>1864</v>
      </c>
      <c r="U695" s="11">
        <v>-42</v>
      </c>
      <c r="V695" s="11">
        <v>-41</v>
      </c>
      <c r="W695" s="11">
        <v>-40</v>
      </c>
      <c r="X695" s="11">
        <v>-39</v>
      </c>
      <c r="Y695" s="11" t="s">
        <v>49</v>
      </c>
      <c r="Z695" s="11" t="s">
        <v>44</v>
      </c>
      <c r="AA695" s="11">
        <v>11.6</v>
      </c>
      <c r="AB695" s="11">
        <v>159</v>
      </c>
      <c r="AC695" s="11">
        <v>-11.7</v>
      </c>
      <c r="AD695" s="11">
        <v>205</v>
      </c>
      <c r="AE695" s="11">
        <v>-8.1</v>
      </c>
      <c r="AF695" s="11">
        <v>222</v>
      </c>
      <c r="AG695" s="11">
        <v>-6.8</v>
      </c>
      <c r="AH695" s="11">
        <v>75</v>
      </c>
      <c r="AI695" s="11" t="s">
        <v>49</v>
      </c>
      <c r="AJ695" s="11">
        <v>99</v>
      </c>
      <c r="AK695" s="11" t="s">
        <v>44</v>
      </c>
      <c r="AL695" s="11" t="s">
        <v>44</v>
      </c>
      <c r="AM695" s="10" t="s">
        <v>44</v>
      </c>
      <c r="AN695" s="9">
        <v>529</v>
      </c>
      <c r="AO695" s="8" t="s">
        <v>1865</v>
      </c>
      <c r="AP695" s="8" t="s">
        <v>64</v>
      </c>
      <c r="AQ695" s="8" t="s">
        <v>45</v>
      </c>
      <c r="AR695" s="8" t="s">
        <v>44</v>
      </c>
      <c r="AS695" s="8">
        <v>28.2</v>
      </c>
      <c r="AT695" s="8">
        <v>40</v>
      </c>
      <c r="AU695" s="8">
        <v>15.7</v>
      </c>
      <c r="AV695" s="8">
        <v>50</v>
      </c>
      <c r="AW695" s="8" t="s">
        <v>44</v>
      </c>
      <c r="AX695" s="8">
        <v>192</v>
      </c>
      <c r="AY695" s="8" t="s">
        <v>64</v>
      </c>
      <c r="AZ695" s="8" t="s">
        <v>114</v>
      </c>
      <c r="BA695" s="7" t="s">
        <v>46</v>
      </c>
      <c r="BB695" s="9"/>
      <c r="BC695" s="8" t="s">
        <v>1864</v>
      </c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7"/>
    </row>
    <row r="696" spans="1:68" ht="14.25" customHeight="1">
      <c r="A696" s="12">
        <v>39</v>
      </c>
      <c r="B696" s="14">
        <v>345</v>
      </c>
      <c r="C696" s="13" t="s">
        <v>30</v>
      </c>
      <c r="D696" s="13" t="s">
        <v>86</v>
      </c>
      <c r="E696" s="13" t="s">
        <v>1861</v>
      </c>
      <c r="F696" s="11">
        <v>-19.7</v>
      </c>
      <c r="G696" s="11">
        <v>-17.600000000000001</v>
      </c>
      <c r="H696" s="11">
        <v>-11.6</v>
      </c>
      <c r="I696" s="11">
        <v>-3.8</v>
      </c>
      <c r="J696" s="11">
        <v>0.8</v>
      </c>
      <c r="K696" s="11">
        <v>5.6</v>
      </c>
      <c r="L696" s="11">
        <v>11.4</v>
      </c>
      <c r="M696" s="11">
        <v>13.2</v>
      </c>
      <c r="N696" s="11">
        <v>9.6</v>
      </c>
      <c r="O696" s="11">
        <v>0.4</v>
      </c>
      <c r="P696" s="11">
        <v>-11</v>
      </c>
      <c r="Q696" s="11">
        <v>-17.399999999999999</v>
      </c>
      <c r="R696" s="10">
        <v>-3.3</v>
      </c>
      <c r="S696" s="12">
        <v>345</v>
      </c>
      <c r="T696" s="8" t="s">
        <v>1863</v>
      </c>
      <c r="U696" s="11">
        <v>-33</v>
      </c>
      <c r="V696" s="11">
        <v>-31</v>
      </c>
      <c r="W696" s="11">
        <v>-30</v>
      </c>
      <c r="X696" s="11">
        <v>-28</v>
      </c>
      <c r="Y696" s="11">
        <v>-24</v>
      </c>
      <c r="Z696" s="11">
        <v>-37</v>
      </c>
      <c r="AA696" s="11">
        <v>7.2</v>
      </c>
      <c r="AB696" s="11">
        <v>203</v>
      </c>
      <c r="AC696" s="11">
        <v>-11.7</v>
      </c>
      <c r="AD696" s="11">
        <v>278</v>
      </c>
      <c r="AE696" s="11">
        <v>-7.4</v>
      </c>
      <c r="AF696" s="11">
        <v>300</v>
      </c>
      <c r="AG696" s="11">
        <v>-6.2</v>
      </c>
      <c r="AH696" s="11">
        <v>50</v>
      </c>
      <c r="AI696" s="11">
        <v>47</v>
      </c>
      <c r="AJ696" s="11">
        <v>129</v>
      </c>
      <c r="AK696" s="11" t="s">
        <v>75</v>
      </c>
      <c r="AL696" s="11" t="s">
        <v>44</v>
      </c>
      <c r="AM696" s="10">
        <v>3.4</v>
      </c>
      <c r="AN696" s="9">
        <v>345</v>
      </c>
      <c r="AO696" s="8" t="s">
        <v>1862</v>
      </c>
      <c r="AP696" s="8">
        <v>1010</v>
      </c>
      <c r="AQ696" s="8">
        <v>13.9</v>
      </c>
      <c r="AR696" s="8">
        <v>18</v>
      </c>
      <c r="AS696" s="8">
        <v>16.5</v>
      </c>
      <c r="AT696" s="8">
        <v>33</v>
      </c>
      <c r="AU696" s="8">
        <v>6.4</v>
      </c>
      <c r="AV696" s="8">
        <v>88</v>
      </c>
      <c r="AW696" s="8">
        <v>79</v>
      </c>
      <c r="AX696" s="8">
        <v>790</v>
      </c>
      <c r="AY696" s="8">
        <v>235</v>
      </c>
      <c r="AZ696" s="8" t="s">
        <v>37</v>
      </c>
      <c r="BA696" s="7" t="s">
        <v>46</v>
      </c>
      <c r="BB696" s="9">
        <v>310</v>
      </c>
      <c r="BC696" s="8" t="s">
        <v>1861</v>
      </c>
      <c r="BD696" s="8">
        <v>0.8</v>
      </c>
      <c r="BE696" s="8">
        <v>0.9</v>
      </c>
      <c r="BF696" s="8">
        <v>1.7</v>
      </c>
      <c r="BG696" s="8">
        <v>3.4</v>
      </c>
      <c r="BH696" s="8">
        <v>5.4</v>
      </c>
      <c r="BI696" s="8">
        <v>8.1999999999999993</v>
      </c>
      <c r="BJ696" s="8">
        <v>11.8</v>
      </c>
      <c r="BK696" s="8">
        <v>12.7</v>
      </c>
      <c r="BL696" s="8">
        <v>9</v>
      </c>
      <c r="BM696" s="8">
        <v>4</v>
      </c>
      <c r="BN696" s="8">
        <v>1.7</v>
      </c>
      <c r="BO696" s="8">
        <v>1</v>
      </c>
      <c r="BP696" s="7">
        <v>5</v>
      </c>
    </row>
    <row r="697" spans="1:68" ht="14.25" customHeight="1">
      <c r="A697" s="12">
        <v>40</v>
      </c>
      <c r="B697" s="14">
        <v>72</v>
      </c>
      <c r="C697" s="13" t="s">
        <v>30</v>
      </c>
      <c r="D697" s="13" t="s">
        <v>422</v>
      </c>
      <c r="E697" s="13" t="s">
        <v>1858</v>
      </c>
      <c r="F697" s="11">
        <v>-11.6</v>
      </c>
      <c r="G697" s="11">
        <v>-10.5</v>
      </c>
      <c r="H697" s="11">
        <v>-5.4</v>
      </c>
      <c r="I697" s="11">
        <v>2.4</v>
      </c>
      <c r="J697" s="11">
        <v>9.5</v>
      </c>
      <c r="K697" s="11">
        <v>14.7</v>
      </c>
      <c r="L697" s="11">
        <v>16.8</v>
      </c>
      <c r="M697" s="11">
        <v>14.9</v>
      </c>
      <c r="N697" s="11">
        <v>9.1999999999999993</v>
      </c>
      <c r="O697" s="11">
        <v>2.9</v>
      </c>
      <c r="P697" s="11">
        <v>-2.6</v>
      </c>
      <c r="Q697" s="11">
        <v>-8</v>
      </c>
      <c r="R697" s="10">
        <v>2.7</v>
      </c>
      <c r="S697" s="12">
        <v>72</v>
      </c>
      <c r="T697" s="8" t="s">
        <v>1860</v>
      </c>
      <c r="U697" s="11">
        <v>-40</v>
      </c>
      <c r="V697" s="11">
        <v>-36</v>
      </c>
      <c r="W697" s="11">
        <v>-36</v>
      </c>
      <c r="X697" s="11">
        <v>-31</v>
      </c>
      <c r="Y697" s="11">
        <v>-17</v>
      </c>
      <c r="Z697" s="11">
        <v>-47</v>
      </c>
      <c r="AA697" s="11">
        <v>7.5</v>
      </c>
      <c r="AB697" s="11">
        <v>158</v>
      </c>
      <c r="AC697" s="11">
        <v>-7.3</v>
      </c>
      <c r="AD697" s="11">
        <v>231</v>
      </c>
      <c r="AE697" s="11">
        <v>-3.8</v>
      </c>
      <c r="AF697" s="11">
        <v>250</v>
      </c>
      <c r="AG697" s="11">
        <v>-2.7</v>
      </c>
      <c r="AH697" s="11">
        <v>86</v>
      </c>
      <c r="AI697" s="11">
        <v>84</v>
      </c>
      <c r="AJ697" s="11">
        <v>174</v>
      </c>
      <c r="AK697" s="11" t="s">
        <v>39</v>
      </c>
      <c r="AL697" s="11" t="s">
        <v>44</v>
      </c>
      <c r="AM697" s="10">
        <v>3.6</v>
      </c>
      <c r="AN697" s="9">
        <v>72</v>
      </c>
      <c r="AO697" s="8" t="s">
        <v>1859</v>
      </c>
      <c r="AP697" s="8">
        <v>1000</v>
      </c>
      <c r="AQ697" s="8">
        <v>21</v>
      </c>
      <c r="AR697" s="8">
        <v>26</v>
      </c>
      <c r="AS697" s="8">
        <v>22.5</v>
      </c>
      <c r="AT697" s="8">
        <v>35</v>
      </c>
      <c r="AU697" s="8">
        <v>11.6</v>
      </c>
      <c r="AV697" s="8">
        <v>73</v>
      </c>
      <c r="AW697" s="8">
        <v>60</v>
      </c>
      <c r="AX697" s="8">
        <v>450</v>
      </c>
      <c r="AY697" s="8">
        <v>60</v>
      </c>
      <c r="AZ697" s="8">
        <v>3</v>
      </c>
      <c r="BA697" s="7" t="s">
        <v>46</v>
      </c>
      <c r="BB697" s="9">
        <v>57</v>
      </c>
      <c r="BC697" s="8" t="s">
        <v>1858</v>
      </c>
      <c r="BD697" s="8">
        <v>2.7</v>
      </c>
      <c r="BE697" s="8">
        <v>2.7</v>
      </c>
      <c r="BF697" s="8">
        <v>3.5</v>
      </c>
      <c r="BG697" s="8">
        <v>5.3</v>
      </c>
      <c r="BH697" s="8">
        <v>7.7</v>
      </c>
      <c r="BI697" s="8">
        <v>11.1</v>
      </c>
      <c r="BJ697" s="8">
        <v>13.9</v>
      </c>
      <c r="BK697" s="8">
        <v>13.2</v>
      </c>
      <c r="BL697" s="8">
        <v>9.8000000000000007</v>
      </c>
      <c r="BM697" s="8">
        <v>6.7</v>
      </c>
      <c r="BN697" s="8">
        <v>4.8</v>
      </c>
      <c r="BO697" s="8">
        <v>3.5</v>
      </c>
      <c r="BP697" s="7">
        <v>7.1</v>
      </c>
    </row>
    <row r="698" spans="1:68" ht="14.25" customHeight="1">
      <c r="A698" s="12">
        <v>41</v>
      </c>
      <c r="B698" s="14">
        <v>54</v>
      </c>
      <c r="C698" s="13" t="s">
        <v>30</v>
      </c>
      <c r="D698" s="13" t="s">
        <v>237</v>
      </c>
      <c r="E698" s="13" t="s">
        <v>1855</v>
      </c>
      <c r="F698" s="11">
        <v>-16.399999999999999</v>
      </c>
      <c r="G698" s="11">
        <v>-16.600000000000001</v>
      </c>
      <c r="H698" s="11">
        <v>-9.6999999999999993</v>
      </c>
      <c r="I698" s="11">
        <v>-0.7</v>
      </c>
      <c r="J698" s="11">
        <v>5.2</v>
      </c>
      <c r="K698" s="11">
        <v>10.7</v>
      </c>
      <c r="L698" s="11">
        <v>14.2</v>
      </c>
      <c r="M698" s="11">
        <v>14.2</v>
      </c>
      <c r="N698" s="11">
        <v>8.9</v>
      </c>
      <c r="O698" s="11">
        <v>2.5</v>
      </c>
      <c r="P698" s="11">
        <v>-5.0999999999999996</v>
      </c>
      <c r="Q698" s="11">
        <v>-10.5</v>
      </c>
      <c r="R698" s="10">
        <v>-0.3</v>
      </c>
      <c r="S698" s="12">
        <v>54</v>
      </c>
      <c r="T698" s="8" t="s">
        <v>1857</v>
      </c>
      <c r="U698" s="11">
        <v>-33</v>
      </c>
      <c r="V698" s="11">
        <v>-30</v>
      </c>
      <c r="W698" s="11">
        <v>-30</v>
      </c>
      <c r="X698" s="11">
        <v>-28</v>
      </c>
      <c r="Y698" s="11">
        <v>-21</v>
      </c>
      <c r="Z698" s="11">
        <v>-38</v>
      </c>
      <c r="AA698" s="11">
        <v>8.8000000000000007</v>
      </c>
      <c r="AB698" s="11">
        <v>175</v>
      </c>
      <c r="AC698" s="11">
        <v>-9.9</v>
      </c>
      <c r="AD698" s="11">
        <v>254</v>
      </c>
      <c r="AE698" s="11">
        <v>-5.6</v>
      </c>
      <c r="AF698" s="11">
        <v>275</v>
      </c>
      <c r="AG698" s="11">
        <v>-4.4000000000000004</v>
      </c>
      <c r="AH698" s="11">
        <v>77</v>
      </c>
      <c r="AI698" s="11">
        <v>72</v>
      </c>
      <c r="AJ698" s="11">
        <v>178</v>
      </c>
      <c r="AK698" s="11" t="s">
        <v>48</v>
      </c>
      <c r="AL698" s="11" t="s">
        <v>44</v>
      </c>
      <c r="AM698" s="10">
        <v>4.2</v>
      </c>
      <c r="AN698" s="9">
        <v>54</v>
      </c>
      <c r="AO698" s="8" t="s">
        <v>1856</v>
      </c>
      <c r="AP698" s="8">
        <v>950</v>
      </c>
      <c r="AQ698" s="8">
        <v>16.899999999999999</v>
      </c>
      <c r="AR698" s="8">
        <v>21.3</v>
      </c>
      <c r="AS698" s="8">
        <v>19.3</v>
      </c>
      <c r="AT698" s="8">
        <v>33</v>
      </c>
      <c r="AU698" s="8">
        <v>9</v>
      </c>
      <c r="AV698" s="8">
        <v>80</v>
      </c>
      <c r="AW698" s="8">
        <v>75</v>
      </c>
      <c r="AX698" s="8">
        <v>479</v>
      </c>
      <c r="AY698" s="8">
        <v>127</v>
      </c>
      <c r="AZ698" s="8" t="s">
        <v>43</v>
      </c>
      <c r="BA698" s="7" t="s">
        <v>46</v>
      </c>
      <c r="BB698" s="9">
        <v>40</v>
      </c>
      <c r="BC698" s="8" t="s">
        <v>1855</v>
      </c>
      <c r="BD698" s="8">
        <v>1.5</v>
      </c>
      <c r="BE698" s="8">
        <v>1.4</v>
      </c>
      <c r="BF698" s="8">
        <v>2.2999999999999998</v>
      </c>
      <c r="BG698" s="8">
        <v>4.0999999999999996</v>
      </c>
      <c r="BH698" s="8">
        <v>6.2</v>
      </c>
      <c r="BI698" s="8">
        <v>10.1</v>
      </c>
      <c r="BJ698" s="8">
        <v>13.7</v>
      </c>
      <c r="BK698" s="8">
        <v>13.4</v>
      </c>
      <c r="BL698" s="8">
        <v>8.9</v>
      </c>
      <c r="BM698" s="8">
        <v>5.2</v>
      </c>
      <c r="BN698" s="8">
        <v>2.8</v>
      </c>
      <c r="BO698" s="8">
        <v>2.1</v>
      </c>
      <c r="BP698" s="7">
        <v>6</v>
      </c>
    </row>
    <row r="699" spans="1:68" ht="14.25" customHeight="1">
      <c r="A699" s="12">
        <v>42</v>
      </c>
      <c r="B699" s="14">
        <v>56</v>
      </c>
      <c r="C699" s="13" t="s">
        <v>30</v>
      </c>
      <c r="D699" s="13" t="s">
        <v>237</v>
      </c>
      <c r="E699" s="13" t="s">
        <v>1852</v>
      </c>
      <c r="F699" s="11">
        <v>-29.4</v>
      </c>
      <c r="G699" s="11">
        <v>-25.2</v>
      </c>
      <c r="H699" s="11">
        <v>-15.4</v>
      </c>
      <c r="I699" s="11">
        <v>-3.5</v>
      </c>
      <c r="J699" s="11">
        <v>5.2</v>
      </c>
      <c r="K699" s="11">
        <v>12.5</v>
      </c>
      <c r="L699" s="11">
        <v>15.3</v>
      </c>
      <c r="M699" s="11">
        <v>12.2</v>
      </c>
      <c r="N699" s="11">
        <v>5.0999999999999996</v>
      </c>
      <c r="O699" s="11">
        <v>-5</v>
      </c>
      <c r="P699" s="11">
        <v>-19</v>
      </c>
      <c r="Q699" s="11">
        <v>-28</v>
      </c>
      <c r="R699" s="10">
        <v>-6.3</v>
      </c>
      <c r="S699" s="12">
        <v>56</v>
      </c>
      <c r="T699" s="8" t="s">
        <v>1854</v>
      </c>
      <c r="U699" s="11">
        <v>-46</v>
      </c>
      <c r="V699" s="11">
        <v>-44</v>
      </c>
      <c r="W699" s="11">
        <v>-44</v>
      </c>
      <c r="X699" s="11">
        <v>-42</v>
      </c>
      <c r="Y699" s="11">
        <v>-34</v>
      </c>
      <c r="Z699" s="11">
        <v>-51</v>
      </c>
      <c r="AA699" s="11">
        <v>16.3</v>
      </c>
      <c r="AB699" s="11">
        <v>209</v>
      </c>
      <c r="AC699" s="11">
        <v>-17.8</v>
      </c>
      <c r="AD699" s="11">
        <v>267</v>
      </c>
      <c r="AE699" s="11">
        <v>-13</v>
      </c>
      <c r="AF699" s="11">
        <v>284</v>
      </c>
      <c r="AG699" s="11">
        <v>-11.7</v>
      </c>
      <c r="AH699" s="11">
        <v>76</v>
      </c>
      <c r="AI699" s="11">
        <v>69</v>
      </c>
      <c r="AJ699" s="11">
        <v>18</v>
      </c>
      <c r="AK699" s="11" t="s">
        <v>75</v>
      </c>
      <c r="AL699" s="11" t="s">
        <v>44</v>
      </c>
      <c r="AM699" s="10">
        <v>1.4</v>
      </c>
      <c r="AN699" s="9">
        <v>56</v>
      </c>
      <c r="AO699" s="8" t="s">
        <v>1853</v>
      </c>
      <c r="AP699" s="8">
        <v>910</v>
      </c>
      <c r="AQ699" s="8">
        <v>20.9</v>
      </c>
      <c r="AR699" s="8">
        <v>25.1</v>
      </c>
      <c r="AS699" s="8">
        <v>23.3</v>
      </c>
      <c r="AT699" s="8">
        <v>35</v>
      </c>
      <c r="AU699" s="8">
        <v>15.6</v>
      </c>
      <c r="AV699" s="8">
        <v>74</v>
      </c>
      <c r="AW699" s="8">
        <v>54</v>
      </c>
      <c r="AX699" s="8">
        <v>343</v>
      </c>
      <c r="AY699" s="8">
        <v>65</v>
      </c>
      <c r="AZ699" s="8" t="s">
        <v>32</v>
      </c>
      <c r="BA699" s="7" t="s">
        <v>46</v>
      </c>
      <c r="BB699" s="9">
        <v>42</v>
      </c>
      <c r="BC699" s="8" t="s">
        <v>1852</v>
      </c>
      <c r="BD699" s="8">
        <v>0.5</v>
      </c>
      <c r="BE699" s="8">
        <v>0.7</v>
      </c>
      <c r="BF699" s="8">
        <v>1.3</v>
      </c>
      <c r="BG699" s="8">
        <v>2.7</v>
      </c>
      <c r="BH699" s="8">
        <v>4.5</v>
      </c>
      <c r="BI699" s="8">
        <v>8.6999999999999993</v>
      </c>
      <c r="BJ699" s="8">
        <v>12.5</v>
      </c>
      <c r="BK699" s="8">
        <v>10.7</v>
      </c>
      <c r="BL699" s="8">
        <v>6</v>
      </c>
      <c r="BM699" s="8">
        <v>2.9</v>
      </c>
      <c r="BN699" s="8">
        <v>1.1000000000000001</v>
      </c>
      <c r="BO699" s="8">
        <v>0.6</v>
      </c>
      <c r="BP699" s="7">
        <v>4.4000000000000004</v>
      </c>
    </row>
    <row r="700" spans="1:68" ht="14.25" customHeight="1">
      <c r="A700" s="12">
        <v>43</v>
      </c>
      <c r="B700" s="14">
        <v>346</v>
      </c>
      <c r="C700" s="13" t="s">
        <v>30</v>
      </c>
      <c r="D700" s="13" t="s">
        <v>86</v>
      </c>
      <c r="E700" s="13" t="s">
        <v>1849</v>
      </c>
      <c r="F700" s="11">
        <v>-21.7</v>
      </c>
      <c r="G700" s="11">
        <v>-20.2</v>
      </c>
      <c r="H700" s="11">
        <v>-14.5</v>
      </c>
      <c r="I700" s="11">
        <v>-5.2</v>
      </c>
      <c r="J700" s="11">
        <v>0.9</v>
      </c>
      <c r="K700" s="11">
        <v>9.1</v>
      </c>
      <c r="L700" s="11">
        <v>14.5</v>
      </c>
      <c r="M700" s="11">
        <v>15.5</v>
      </c>
      <c r="N700" s="11">
        <v>12</v>
      </c>
      <c r="O700" s="11">
        <v>3.4</v>
      </c>
      <c r="P700" s="11">
        <v>-7.1</v>
      </c>
      <c r="Q700" s="11">
        <v>-16.600000000000001</v>
      </c>
      <c r="R700" s="10">
        <v>-2.5</v>
      </c>
      <c r="S700" s="12">
        <v>346</v>
      </c>
      <c r="T700" s="8" t="s">
        <v>1851</v>
      </c>
      <c r="U700" s="11">
        <v>-37</v>
      </c>
      <c r="V700" s="11">
        <v>-35</v>
      </c>
      <c r="W700" s="11">
        <v>-34</v>
      </c>
      <c r="X700" s="11">
        <v>-31</v>
      </c>
      <c r="Y700" s="11">
        <v>-27</v>
      </c>
      <c r="Z700" s="11">
        <v>-44</v>
      </c>
      <c r="AA700" s="11">
        <v>7.6</v>
      </c>
      <c r="AB700" s="11">
        <v>198</v>
      </c>
      <c r="AC700" s="11">
        <v>-12.8</v>
      </c>
      <c r="AD700" s="11">
        <v>255</v>
      </c>
      <c r="AE700" s="11">
        <v>-9</v>
      </c>
      <c r="AF700" s="11">
        <v>271</v>
      </c>
      <c r="AG700" s="11">
        <v>-7.9</v>
      </c>
      <c r="AH700" s="11">
        <v>81</v>
      </c>
      <c r="AI700" s="11">
        <v>80</v>
      </c>
      <c r="AJ700" s="11" t="s">
        <v>84</v>
      </c>
      <c r="AK700" s="11" t="s">
        <v>75</v>
      </c>
      <c r="AL700" s="11" t="s">
        <v>44</v>
      </c>
      <c r="AM700" s="10">
        <v>5.9</v>
      </c>
      <c r="AN700" s="9">
        <v>346</v>
      </c>
      <c r="AO700" s="8" t="s">
        <v>1850</v>
      </c>
      <c r="AP700" s="8">
        <v>1010</v>
      </c>
      <c r="AQ700" s="8">
        <v>16.3</v>
      </c>
      <c r="AR700" s="8">
        <v>20.8</v>
      </c>
      <c r="AS700" s="8">
        <v>18.7</v>
      </c>
      <c r="AT700" s="8">
        <v>29</v>
      </c>
      <c r="AU700" s="8">
        <v>6.2</v>
      </c>
      <c r="AV700" s="8">
        <v>87</v>
      </c>
      <c r="AW700" s="8">
        <v>82</v>
      </c>
      <c r="AX700" s="8">
        <v>480</v>
      </c>
      <c r="AY700" s="8" t="s">
        <v>64</v>
      </c>
      <c r="AZ700" s="8" t="s">
        <v>151</v>
      </c>
      <c r="BA700" s="7" t="s">
        <v>46</v>
      </c>
      <c r="BB700" s="9">
        <v>311</v>
      </c>
      <c r="BC700" s="8" t="s">
        <v>1849</v>
      </c>
      <c r="BD700" s="8">
        <v>1.1000000000000001</v>
      </c>
      <c r="BE700" s="8">
        <v>1.1000000000000001</v>
      </c>
      <c r="BF700" s="8">
        <v>1.8</v>
      </c>
      <c r="BG700" s="8">
        <v>3.8</v>
      </c>
      <c r="BH700" s="8">
        <v>6</v>
      </c>
      <c r="BI700" s="8">
        <v>10.4</v>
      </c>
      <c r="BJ700" s="8">
        <v>14.7</v>
      </c>
      <c r="BK700" s="8">
        <v>15.7</v>
      </c>
      <c r="BL700" s="8">
        <v>11.8</v>
      </c>
      <c r="BM700" s="8">
        <v>6.5</v>
      </c>
      <c r="BN700" s="8">
        <v>3</v>
      </c>
      <c r="BO700" s="8">
        <v>1.6</v>
      </c>
      <c r="BP700" s="7">
        <v>6.5</v>
      </c>
    </row>
    <row r="701" spans="1:68" ht="14.25" customHeight="1">
      <c r="A701" s="12">
        <v>44</v>
      </c>
      <c r="B701" s="14">
        <v>171</v>
      </c>
      <c r="C701" s="13" t="s">
        <v>30</v>
      </c>
      <c r="D701" s="13" t="s">
        <v>29</v>
      </c>
      <c r="E701" s="13" t="s">
        <v>1846</v>
      </c>
      <c r="F701" s="11">
        <v>-30.9</v>
      </c>
      <c r="G701" s="11">
        <v>-27</v>
      </c>
      <c r="H701" s="11">
        <v>-15.4</v>
      </c>
      <c r="I701" s="11">
        <v>-3.9</v>
      </c>
      <c r="J701" s="11">
        <v>4.0999999999999996</v>
      </c>
      <c r="K701" s="11">
        <v>12.9</v>
      </c>
      <c r="L701" s="11">
        <v>16.8</v>
      </c>
      <c r="M701" s="11">
        <v>12.5</v>
      </c>
      <c r="N701" s="11">
        <v>5.4</v>
      </c>
      <c r="O701" s="11">
        <v>-5</v>
      </c>
      <c r="P701" s="11">
        <v>-21.2</v>
      </c>
      <c r="Q701" s="11">
        <v>-29.8</v>
      </c>
      <c r="R701" s="10">
        <v>-6.8</v>
      </c>
      <c r="S701" s="12">
        <v>171</v>
      </c>
      <c r="T701" s="8" t="s">
        <v>1848</v>
      </c>
      <c r="U701" s="11">
        <v>-55</v>
      </c>
      <c r="V701" s="11">
        <v>-53</v>
      </c>
      <c r="W701" s="11">
        <v>-52</v>
      </c>
      <c r="X701" s="11">
        <v>-50</v>
      </c>
      <c r="Y701" s="11">
        <v>-36</v>
      </c>
      <c r="Z701" s="11">
        <v>-57</v>
      </c>
      <c r="AA701" s="11">
        <v>10.9</v>
      </c>
      <c r="AB701" s="11">
        <v>211</v>
      </c>
      <c r="AC701" s="11">
        <v>-18.7</v>
      </c>
      <c r="AD701" s="11">
        <v>267</v>
      </c>
      <c r="AE701" s="11">
        <v>-13.9</v>
      </c>
      <c r="AF701" s="11">
        <v>283</v>
      </c>
      <c r="AG701" s="11">
        <v>-12.7</v>
      </c>
      <c r="AH701" s="11">
        <v>79</v>
      </c>
      <c r="AI701" s="11">
        <v>76</v>
      </c>
      <c r="AJ701" s="11">
        <v>143</v>
      </c>
      <c r="AK701" s="11" t="s">
        <v>39</v>
      </c>
      <c r="AL701" s="11">
        <v>1.9</v>
      </c>
      <c r="AM701" s="10">
        <v>1.1000000000000001</v>
      </c>
      <c r="AN701" s="9">
        <v>171</v>
      </c>
      <c r="AO701" s="8" t="s">
        <v>1847</v>
      </c>
      <c r="AP701" s="8">
        <v>980</v>
      </c>
      <c r="AQ701" s="8">
        <v>20.6</v>
      </c>
      <c r="AR701" s="8">
        <v>25.2</v>
      </c>
      <c r="AS701" s="8">
        <v>24.5</v>
      </c>
      <c r="AT701" s="8">
        <v>39</v>
      </c>
      <c r="AU701" s="8">
        <v>15.1</v>
      </c>
      <c r="AV701" s="8">
        <v>71</v>
      </c>
      <c r="AW701" s="8">
        <v>52</v>
      </c>
      <c r="AX701" s="8">
        <v>355</v>
      </c>
      <c r="AY701" s="8">
        <v>49</v>
      </c>
      <c r="AZ701" s="8" t="s">
        <v>32</v>
      </c>
      <c r="BA701" s="7">
        <v>0</v>
      </c>
      <c r="BB701" s="9">
        <v>150</v>
      </c>
      <c r="BC701" s="8" t="s">
        <v>1846</v>
      </c>
      <c r="BD701" s="8">
        <v>0.5</v>
      </c>
      <c r="BE701" s="8">
        <v>0.7</v>
      </c>
      <c r="BF701" s="8">
        <v>1.6</v>
      </c>
      <c r="BG701" s="8">
        <v>3</v>
      </c>
      <c r="BH701" s="8">
        <v>5.0999999999999996</v>
      </c>
      <c r="BI701" s="8">
        <v>9.4</v>
      </c>
      <c r="BJ701" s="8">
        <v>12.9</v>
      </c>
      <c r="BK701" s="8">
        <v>11.3</v>
      </c>
      <c r="BL701" s="8">
        <v>7.4</v>
      </c>
      <c r="BM701" s="8">
        <v>3.9</v>
      </c>
      <c r="BN701" s="8">
        <v>1.4</v>
      </c>
      <c r="BO701" s="8">
        <v>0.7</v>
      </c>
      <c r="BP701" s="7">
        <v>4.8</v>
      </c>
    </row>
    <row r="702" spans="1:68" ht="14.25" customHeight="1">
      <c r="A702" s="12">
        <v>45</v>
      </c>
      <c r="B702" s="14">
        <v>561</v>
      </c>
      <c r="C702" s="17" t="s">
        <v>208</v>
      </c>
      <c r="D702" s="17" t="s">
        <v>484</v>
      </c>
      <c r="E702" s="13" t="s">
        <v>1844</v>
      </c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0"/>
      <c r="S702" s="16">
        <v>561</v>
      </c>
      <c r="T702" s="8" t="s">
        <v>1844</v>
      </c>
      <c r="U702" s="11">
        <v>-18</v>
      </c>
      <c r="V702" s="11">
        <v>-16</v>
      </c>
      <c r="W702" s="11">
        <v>-15</v>
      </c>
      <c r="X702" s="11">
        <v>-12</v>
      </c>
      <c r="Y702" s="11">
        <v>-5</v>
      </c>
      <c r="Z702" s="11">
        <v>-26</v>
      </c>
      <c r="AA702" s="11">
        <v>10.1</v>
      </c>
      <c r="AB702" s="11">
        <v>0</v>
      </c>
      <c r="AC702" s="11" t="s">
        <v>50</v>
      </c>
      <c r="AD702" s="11">
        <v>103</v>
      </c>
      <c r="AE702" s="11">
        <v>4</v>
      </c>
      <c r="AF702" s="11">
        <v>121</v>
      </c>
      <c r="AG702" s="11">
        <v>5</v>
      </c>
      <c r="AH702" s="11" t="s">
        <v>49</v>
      </c>
      <c r="AI702" s="11">
        <v>55</v>
      </c>
      <c r="AJ702" s="11">
        <v>146</v>
      </c>
      <c r="AK702" s="11" t="s">
        <v>66</v>
      </c>
      <c r="AL702" s="11">
        <v>4.0999999999999996</v>
      </c>
      <c r="AM702" s="10" t="s">
        <v>44</v>
      </c>
      <c r="AN702" s="9">
        <v>562</v>
      </c>
      <c r="AO702" s="8" t="s">
        <v>1845</v>
      </c>
      <c r="AP702" s="8">
        <v>985</v>
      </c>
      <c r="AQ702" s="8">
        <v>40</v>
      </c>
      <c r="AR702" s="8">
        <v>35</v>
      </c>
      <c r="AS702" s="8">
        <v>38.5</v>
      </c>
      <c r="AT702" s="8">
        <v>48</v>
      </c>
      <c r="AU702" s="8">
        <v>15.8</v>
      </c>
      <c r="AV702" s="8">
        <v>27</v>
      </c>
      <c r="AW702" s="8">
        <v>18</v>
      </c>
      <c r="AX702" s="8">
        <v>55</v>
      </c>
      <c r="AY702" s="8">
        <v>51</v>
      </c>
      <c r="AZ702" s="8" t="s">
        <v>32</v>
      </c>
      <c r="BA702" s="7">
        <v>2.1</v>
      </c>
      <c r="BB702" s="9"/>
      <c r="BC702" s="8" t="s">
        <v>1844</v>
      </c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7"/>
    </row>
    <row r="703" spans="1:68" ht="14.25" customHeight="1">
      <c r="A703" s="12">
        <v>46</v>
      </c>
      <c r="B703" s="14">
        <v>503</v>
      </c>
      <c r="C703" s="13" t="s">
        <v>121</v>
      </c>
      <c r="D703" s="13" t="s">
        <v>1843</v>
      </c>
      <c r="E703" s="13" t="s">
        <v>1841</v>
      </c>
      <c r="F703" s="11">
        <v>-11.4</v>
      </c>
      <c r="G703" s="11">
        <v>-9.6</v>
      </c>
      <c r="H703" s="11">
        <v>0.1</v>
      </c>
      <c r="I703" s="11">
        <v>11</v>
      </c>
      <c r="J703" s="11">
        <v>17.8</v>
      </c>
      <c r="K703" s="11">
        <v>23.3</v>
      </c>
      <c r="L703" s="11">
        <v>25.8</v>
      </c>
      <c r="M703" s="11">
        <v>23.3</v>
      </c>
      <c r="N703" s="11">
        <v>16.8</v>
      </c>
      <c r="O703" s="11">
        <v>8.4</v>
      </c>
      <c r="P703" s="11">
        <v>-1</v>
      </c>
      <c r="Q703" s="11">
        <v>-8</v>
      </c>
      <c r="R703" s="10">
        <v>8</v>
      </c>
      <c r="S703" s="12">
        <v>503</v>
      </c>
      <c r="T703" s="8" t="s">
        <v>1841</v>
      </c>
      <c r="U703" s="11">
        <v>-41</v>
      </c>
      <c r="V703" s="11">
        <v>-40</v>
      </c>
      <c r="W703" s="11">
        <v>-39</v>
      </c>
      <c r="X703" s="11">
        <v>-35</v>
      </c>
      <c r="Y703" s="11" t="s">
        <v>49</v>
      </c>
      <c r="Z703" s="11">
        <v>-43</v>
      </c>
      <c r="AA703" s="11">
        <v>12.1</v>
      </c>
      <c r="AB703" s="11">
        <v>125</v>
      </c>
      <c r="AC703" s="11">
        <v>-7.6</v>
      </c>
      <c r="AD703" s="11">
        <v>172</v>
      </c>
      <c r="AE703" s="11">
        <v>-4.5</v>
      </c>
      <c r="AF703" s="11">
        <v>185</v>
      </c>
      <c r="AG703" s="11">
        <v>-3.5</v>
      </c>
      <c r="AH703" s="11">
        <v>79</v>
      </c>
      <c r="AI703" s="11" t="s">
        <v>49</v>
      </c>
      <c r="AJ703" s="11">
        <v>75</v>
      </c>
      <c r="AK703" s="11" t="s">
        <v>199</v>
      </c>
      <c r="AL703" s="11">
        <v>2.5</v>
      </c>
      <c r="AM703" s="10">
        <v>2.1</v>
      </c>
      <c r="AN703" s="9">
        <v>503</v>
      </c>
      <c r="AO703" s="8" t="s">
        <v>1842</v>
      </c>
      <c r="AP703" s="8" t="s">
        <v>64</v>
      </c>
      <c r="AQ703" s="8" t="s">
        <v>45</v>
      </c>
      <c r="AR703" s="8" t="s">
        <v>44</v>
      </c>
      <c r="AS703" s="8">
        <v>33.4</v>
      </c>
      <c r="AT703" s="8">
        <v>44</v>
      </c>
      <c r="AU703" s="8">
        <v>16.100000000000001</v>
      </c>
      <c r="AV703" s="8">
        <v>39</v>
      </c>
      <c r="AW703" s="8" t="s">
        <v>44</v>
      </c>
      <c r="AX703" s="8" t="s">
        <v>44</v>
      </c>
      <c r="AY703" s="8" t="s">
        <v>64</v>
      </c>
      <c r="AZ703" s="8" t="s">
        <v>37</v>
      </c>
      <c r="BA703" s="7">
        <v>2.8</v>
      </c>
      <c r="BB703" s="9"/>
      <c r="BC703" s="8" t="s">
        <v>1841</v>
      </c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7"/>
    </row>
    <row r="704" spans="1:68" ht="14.25" customHeight="1">
      <c r="A704" s="12">
        <v>47</v>
      </c>
      <c r="B704" s="14">
        <v>458</v>
      </c>
      <c r="C704" s="13" t="s">
        <v>1840</v>
      </c>
      <c r="D704" s="13" t="s">
        <v>1840</v>
      </c>
      <c r="E704" s="13" t="s">
        <v>1839</v>
      </c>
      <c r="F704" s="11">
        <v>3.9</v>
      </c>
      <c r="G704" s="11">
        <v>4.0999999999999996</v>
      </c>
      <c r="H704" s="11">
        <v>6.3</v>
      </c>
      <c r="I704" s="11">
        <v>11.2</v>
      </c>
      <c r="J704" s="11">
        <v>17.7</v>
      </c>
      <c r="K704" s="11">
        <v>22.6</v>
      </c>
      <c r="L704" s="11">
        <v>25.7</v>
      </c>
      <c r="M704" s="11" t="s">
        <v>1838</v>
      </c>
      <c r="N704" s="11">
        <v>21.8</v>
      </c>
      <c r="O704" s="11">
        <v>16.600000000000001</v>
      </c>
      <c r="P704" s="11" t="s">
        <v>1837</v>
      </c>
      <c r="Q704" s="11">
        <v>6.8</v>
      </c>
      <c r="R704" s="10">
        <v>14.5</v>
      </c>
      <c r="S704" s="12">
        <v>458</v>
      </c>
      <c r="T704" s="8" t="s">
        <v>1835</v>
      </c>
      <c r="U704" s="11">
        <v>-8</v>
      </c>
      <c r="V704" s="11">
        <v>-6</v>
      </c>
      <c r="W704" s="11">
        <v>-5</v>
      </c>
      <c r="X704" s="11">
        <v>-4</v>
      </c>
      <c r="Y704" s="11">
        <v>2</v>
      </c>
      <c r="Z704" s="11">
        <v>-13</v>
      </c>
      <c r="AA704" s="11">
        <v>4.8</v>
      </c>
      <c r="AB704" s="11">
        <v>0</v>
      </c>
      <c r="AC704" s="11" t="s">
        <v>50</v>
      </c>
      <c r="AD704" s="11">
        <v>112</v>
      </c>
      <c r="AE704" s="11">
        <v>5.0999999999999996</v>
      </c>
      <c r="AF704" s="11">
        <v>137</v>
      </c>
      <c r="AG704" s="11">
        <v>5.8</v>
      </c>
      <c r="AH704" s="11" t="s">
        <v>49</v>
      </c>
      <c r="AI704" s="11">
        <v>72</v>
      </c>
      <c r="AJ704" s="11">
        <v>125</v>
      </c>
      <c r="AK704" s="11" t="s">
        <v>56</v>
      </c>
      <c r="AL704" s="11" t="s">
        <v>44</v>
      </c>
      <c r="AM704" s="10">
        <v>9.5</v>
      </c>
      <c r="AN704" s="9">
        <v>458</v>
      </c>
      <c r="AO704" s="8" t="s">
        <v>1836</v>
      </c>
      <c r="AP704" s="8">
        <v>1015</v>
      </c>
      <c r="AQ704" s="8">
        <v>28</v>
      </c>
      <c r="AR704" s="8">
        <v>32</v>
      </c>
      <c r="AS704" s="8">
        <v>33</v>
      </c>
      <c r="AT704" s="8">
        <v>40</v>
      </c>
      <c r="AU704" s="8">
        <v>12.2</v>
      </c>
      <c r="AV704" s="8">
        <v>58</v>
      </c>
      <c r="AW704" s="8">
        <v>54</v>
      </c>
      <c r="AX704" s="8">
        <v>97</v>
      </c>
      <c r="AY704" s="8">
        <v>73</v>
      </c>
      <c r="AZ704" s="8" t="s">
        <v>32</v>
      </c>
      <c r="BA704" s="7">
        <v>4.9000000000000004</v>
      </c>
      <c r="BB704" s="9"/>
      <c r="BC704" s="8" t="s">
        <v>1835</v>
      </c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7"/>
    </row>
    <row r="705" spans="1:68" ht="14.25" customHeight="1">
      <c r="A705" s="12">
        <v>48</v>
      </c>
      <c r="B705" s="14">
        <v>285</v>
      </c>
      <c r="C705" s="13" t="s">
        <v>30</v>
      </c>
      <c r="D705" s="13" t="s">
        <v>657</v>
      </c>
      <c r="E705" s="13" t="s">
        <v>1832</v>
      </c>
      <c r="F705" s="11">
        <v>-10.6</v>
      </c>
      <c r="G705" s="11">
        <v>-10.4</v>
      </c>
      <c r="H705" s="11">
        <v>-4.5999999999999996</v>
      </c>
      <c r="I705" s="11">
        <v>6.3</v>
      </c>
      <c r="J705" s="11">
        <v>14.5</v>
      </c>
      <c r="K705" s="11">
        <v>18.600000000000001</v>
      </c>
      <c r="L705" s="11">
        <v>20.6</v>
      </c>
      <c r="M705" s="11">
        <v>19.2</v>
      </c>
      <c r="N705" s="11">
        <v>12.9</v>
      </c>
      <c r="O705" s="11">
        <v>5.2</v>
      </c>
      <c r="P705" s="11">
        <v>-1.5</v>
      </c>
      <c r="Q705" s="11">
        <v>-7.6</v>
      </c>
      <c r="R705" s="10">
        <v>5.2</v>
      </c>
      <c r="S705" s="12">
        <v>285</v>
      </c>
      <c r="T705" s="8" t="s">
        <v>1834</v>
      </c>
      <c r="U705" s="11">
        <v>-34</v>
      </c>
      <c r="V705" s="11">
        <v>-33</v>
      </c>
      <c r="W705" s="11">
        <v>-32</v>
      </c>
      <c r="X705" s="11">
        <v>-29</v>
      </c>
      <c r="Y705" s="11">
        <v>-16</v>
      </c>
      <c r="Z705" s="11">
        <v>-38</v>
      </c>
      <c r="AA705" s="11">
        <v>6.5</v>
      </c>
      <c r="AB705" s="11">
        <v>142</v>
      </c>
      <c r="AC705" s="11">
        <v>-7.4</v>
      </c>
      <c r="AD705" s="11">
        <v>199</v>
      </c>
      <c r="AE705" s="11">
        <v>-4.2</v>
      </c>
      <c r="AF705" s="11">
        <v>213</v>
      </c>
      <c r="AG705" s="11">
        <v>-3.2</v>
      </c>
      <c r="AH705" s="11">
        <v>84</v>
      </c>
      <c r="AI705" s="11">
        <v>82</v>
      </c>
      <c r="AJ705" s="11">
        <v>171</v>
      </c>
      <c r="AK705" s="11" t="s">
        <v>27</v>
      </c>
      <c r="AL705" s="11">
        <v>7.3</v>
      </c>
      <c r="AM705" s="10">
        <v>5.0999999999999996</v>
      </c>
      <c r="AN705" s="9">
        <v>279</v>
      </c>
      <c r="AO705" s="8" t="s">
        <v>1833</v>
      </c>
      <c r="AP705" s="8">
        <v>1000</v>
      </c>
      <c r="AQ705" s="8">
        <v>25</v>
      </c>
      <c r="AR705" s="8">
        <v>29</v>
      </c>
      <c r="AS705" s="8">
        <v>26.7</v>
      </c>
      <c r="AT705" s="8">
        <v>40</v>
      </c>
      <c r="AU705" s="8">
        <v>12</v>
      </c>
      <c r="AV705" s="8">
        <v>63</v>
      </c>
      <c r="AW705" s="8">
        <v>44</v>
      </c>
      <c r="AX705" s="8">
        <v>310</v>
      </c>
      <c r="AY705" s="8">
        <v>63</v>
      </c>
      <c r="AZ705" s="8" t="s">
        <v>54</v>
      </c>
      <c r="BA705" s="7">
        <v>3.7</v>
      </c>
      <c r="BB705" s="9">
        <v>250</v>
      </c>
      <c r="BC705" s="8" t="s">
        <v>1832</v>
      </c>
      <c r="BD705" s="8">
        <v>2.7</v>
      </c>
      <c r="BE705" s="8">
        <v>2.8</v>
      </c>
      <c r="BF705" s="8">
        <v>4</v>
      </c>
      <c r="BG705" s="8">
        <v>6.8</v>
      </c>
      <c r="BH705" s="8">
        <v>9.1999999999999993</v>
      </c>
      <c r="BI705" s="8">
        <v>12.5</v>
      </c>
      <c r="BJ705" s="8">
        <v>14.6</v>
      </c>
      <c r="BK705" s="8">
        <v>13.3</v>
      </c>
      <c r="BL705" s="8">
        <v>9.8000000000000007</v>
      </c>
      <c r="BM705" s="8">
        <v>6.9</v>
      </c>
      <c r="BN705" s="8">
        <v>5.0999999999999996</v>
      </c>
      <c r="BO705" s="8">
        <v>3.6</v>
      </c>
      <c r="BP705" s="7">
        <v>7.6</v>
      </c>
    </row>
    <row r="706" spans="1:68" ht="14.25" customHeight="1">
      <c r="A706" s="12">
        <v>49</v>
      </c>
      <c r="B706" s="14">
        <v>514</v>
      </c>
      <c r="C706" s="13" t="s">
        <v>121</v>
      </c>
      <c r="D706" s="13" t="s">
        <v>1318</v>
      </c>
      <c r="E706" s="13" t="s">
        <v>1830</v>
      </c>
      <c r="F706" s="11">
        <v>-14.4</v>
      </c>
      <c r="G706" s="11">
        <v>-13.7</v>
      </c>
      <c r="H706" s="11">
        <v>-4.9000000000000004</v>
      </c>
      <c r="I706" s="11">
        <v>7.7</v>
      </c>
      <c r="J706" s="11">
        <v>16</v>
      </c>
      <c r="K706" s="11">
        <v>21.9</v>
      </c>
      <c r="L706" s="11">
        <v>24.2</v>
      </c>
      <c r="M706" s="11">
        <v>21.8</v>
      </c>
      <c r="N706" s="11">
        <v>15.3</v>
      </c>
      <c r="O706" s="11">
        <v>6.5</v>
      </c>
      <c r="P706" s="11">
        <v>-3.4</v>
      </c>
      <c r="Q706" s="11">
        <v>-11.1</v>
      </c>
      <c r="R706" s="10">
        <v>5.5</v>
      </c>
      <c r="S706" s="12">
        <v>514</v>
      </c>
      <c r="T706" s="8" t="s">
        <v>1830</v>
      </c>
      <c r="U706" s="11">
        <v>-37</v>
      </c>
      <c r="V706" s="11">
        <v>-35</v>
      </c>
      <c r="W706" s="11">
        <v>-33</v>
      </c>
      <c r="X706" s="11">
        <v>-31</v>
      </c>
      <c r="Y706" s="11">
        <v>-20</v>
      </c>
      <c r="Z706" s="11" t="s">
        <v>44</v>
      </c>
      <c r="AA706" s="11">
        <v>9.1</v>
      </c>
      <c r="AB706" s="11">
        <v>144</v>
      </c>
      <c r="AC706" s="11">
        <v>-9.9</v>
      </c>
      <c r="AD706" s="11">
        <v>189</v>
      </c>
      <c r="AE706" s="11">
        <v>-6.5</v>
      </c>
      <c r="AF706" s="11">
        <v>203</v>
      </c>
      <c r="AG706" s="11">
        <v>-5.4</v>
      </c>
      <c r="AH706" s="11" t="s">
        <v>49</v>
      </c>
      <c r="AI706" s="11" t="s">
        <v>49</v>
      </c>
      <c r="AJ706" s="11">
        <v>61</v>
      </c>
      <c r="AK706" s="11" t="s">
        <v>199</v>
      </c>
      <c r="AL706" s="11">
        <v>5.0999999999999996</v>
      </c>
      <c r="AM706" s="10">
        <v>4.8</v>
      </c>
      <c r="AN706" s="9">
        <v>514</v>
      </c>
      <c r="AO706" s="8" t="s">
        <v>1831</v>
      </c>
      <c r="AP706" s="8">
        <v>980</v>
      </c>
      <c r="AQ706" s="8">
        <v>26.6</v>
      </c>
      <c r="AR706" s="8">
        <v>29.8</v>
      </c>
      <c r="AS706" s="8">
        <v>28.7</v>
      </c>
      <c r="AT706" s="8">
        <v>41</v>
      </c>
      <c r="AU706" s="8">
        <v>10.7</v>
      </c>
      <c r="AV706" s="8" t="s">
        <v>45</v>
      </c>
      <c r="AW706" s="8">
        <v>46</v>
      </c>
      <c r="AX706" s="8">
        <v>76</v>
      </c>
      <c r="AY706" s="8" t="s">
        <v>64</v>
      </c>
      <c r="AZ706" s="8" t="s">
        <v>37</v>
      </c>
      <c r="BA706" s="7">
        <v>4.4000000000000004</v>
      </c>
      <c r="BB706" s="9"/>
      <c r="BC706" s="8" t="s">
        <v>1830</v>
      </c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7"/>
    </row>
    <row r="707" spans="1:68" ht="14.25" customHeight="1">
      <c r="A707" s="12">
        <v>50</v>
      </c>
      <c r="B707" s="14">
        <v>232</v>
      </c>
      <c r="C707" s="13" t="s">
        <v>30</v>
      </c>
      <c r="D707" s="13" t="s">
        <v>149</v>
      </c>
      <c r="E707" s="13" t="s">
        <v>1827</v>
      </c>
      <c r="F707" s="11">
        <v>-19.899999999999999</v>
      </c>
      <c r="G707" s="11">
        <v>-18.3</v>
      </c>
      <c r="H707" s="11">
        <v>-11.8</v>
      </c>
      <c r="I707" s="11">
        <v>0.5</v>
      </c>
      <c r="J707" s="11">
        <v>10.1</v>
      </c>
      <c r="K707" s="11">
        <v>16.399999999999999</v>
      </c>
      <c r="L707" s="11">
        <v>18.5</v>
      </c>
      <c r="M707" s="11">
        <v>15.5</v>
      </c>
      <c r="N707" s="11">
        <v>9.8000000000000007</v>
      </c>
      <c r="O707" s="11">
        <v>1.1000000000000001</v>
      </c>
      <c r="P707" s="11">
        <v>-9.1999999999999993</v>
      </c>
      <c r="Q707" s="11">
        <v>-17</v>
      </c>
      <c r="R707" s="10">
        <v>-0.4</v>
      </c>
      <c r="S707" s="12">
        <v>232</v>
      </c>
      <c r="T707" s="8" t="s">
        <v>1829</v>
      </c>
      <c r="U707" s="11">
        <v>-44</v>
      </c>
      <c r="V707" s="11">
        <v>-42</v>
      </c>
      <c r="W707" s="11">
        <v>-42</v>
      </c>
      <c r="X707" s="11">
        <v>-39</v>
      </c>
      <c r="Y707" s="11">
        <v>-25</v>
      </c>
      <c r="Z707" s="11">
        <v>-48</v>
      </c>
      <c r="AA707" s="11">
        <v>9.1999999999999993</v>
      </c>
      <c r="AB707" s="11">
        <v>177</v>
      </c>
      <c r="AC707" s="11">
        <v>-12.9</v>
      </c>
      <c r="AD707" s="11">
        <v>230</v>
      </c>
      <c r="AE707" s="11">
        <v>-9</v>
      </c>
      <c r="AF707" s="11">
        <v>243</v>
      </c>
      <c r="AG707" s="11">
        <v>-8</v>
      </c>
      <c r="AH707" s="11">
        <v>82</v>
      </c>
      <c r="AI707" s="11">
        <v>81</v>
      </c>
      <c r="AJ707" s="11">
        <v>104</v>
      </c>
      <c r="AK707" s="11" t="s">
        <v>39</v>
      </c>
      <c r="AL707" s="11">
        <v>6.5</v>
      </c>
      <c r="AM707" s="10">
        <v>6.3</v>
      </c>
      <c r="AN707" s="9">
        <v>232</v>
      </c>
      <c r="AO707" s="8" t="s">
        <v>1828</v>
      </c>
      <c r="AP707" s="8">
        <v>995</v>
      </c>
      <c r="AQ707" s="8">
        <v>23.5</v>
      </c>
      <c r="AR707" s="8">
        <v>27.6</v>
      </c>
      <c r="AS707" s="8">
        <v>24.8</v>
      </c>
      <c r="AT707" s="8">
        <v>38</v>
      </c>
      <c r="AU707" s="8">
        <v>12.2</v>
      </c>
      <c r="AV707" s="8">
        <v>72</v>
      </c>
      <c r="AW707" s="8">
        <v>55</v>
      </c>
      <c r="AX707" s="8">
        <v>307</v>
      </c>
      <c r="AY707" s="8">
        <v>75</v>
      </c>
      <c r="AZ707" s="8" t="s">
        <v>54</v>
      </c>
      <c r="BA707" s="7">
        <v>3.9</v>
      </c>
      <c r="BB707" s="9">
        <v>204</v>
      </c>
      <c r="BC707" s="8" t="s">
        <v>1827</v>
      </c>
      <c r="BD707" s="8">
        <v>1.3</v>
      </c>
      <c r="BE707" s="8">
        <v>1.4</v>
      </c>
      <c r="BF707" s="8">
        <v>2.5</v>
      </c>
      <c r="BG707" s="8">
        <v>5.0999999999999996</v>
      </c>
      <c r="BH707" s="8">
        <v>7.5</v>
      </c>
      <c r="BI707" s="8">
        <v>12</v>
      </c>
      <c r="BJ707" s="8">
        <v>15.2</v>
      </c>
      <c r="BK707" s="8">
        <v>13.1</v>
      </c>
      <c r="BL707" s="8">
        <v>9</v>
      </c>
      <c r="BM707" s="8">
        <v>5.4</v>
      </c>
      <c r="BN707" s="8">
        <v>3</v>
      </c>
      <c r="BO707" s="8">
        <v>1.7</v>
      </c>
      <c r="BP707" s="7">
        <v>6.4</v>
      </c>
    </row>
    <row r="708" spans="1:68" ht="14.25" customHeight="1">
      <c r="A708" s="12">
        <v>51</v>
      </c>
      <c r="B708" s="14">
        <v>55</v>
      </c>
      <c r="C708" s="13" t="s">
        <v>30</v>
      </c>
      <c r="D708" s="13" t="s">
        <v>237</v>
      </c>
      <c r="E708" s="13" t="s">
        <v>1824</v>
      </c>
      <c r="F708" s="11">
        <v>-27.4</v>
      </c>
      <c r="G708" s="11">
        <v>-23.7</v>
      </c>
      <c r="H708" s="11">
        <v>-12.1</v>
      </c>
      <c r="I708" s="11">
        <v>-0.3</v>
      </c>
      <c r="J708" s="11">
        <v>7.8</v>
      </c>
      <c r="K708" s="11">
        <v>15.1</v>
      </c>
      <c r="L708" s="11">
        <v>18.399999999999999</v>
      </c>
      <c r="M708" s="11">
        <v>15.9</v>
      </c>
      <c r="N708" s="11">
        <v>8.6</v>
      </c>
      <c r="O708" s="11">
        <v>-0.6</v>
      </c>
      <c r="P708" s="11">
        <v>-12.8</v>
      </c>
      <c r="Q708" s="11">
        <v>-23.2</v>
      </c>
      <c r="R708" s="10">
        <v>-2.9</v>
      </c>
      <c r="S708" s="12">
        <v>55</v>
      </c>
      <c r="T708" s="8" t="s">
        <v>1826</v>
      </c>
      <c r="U708" s="11">
        <v>-46</v>
      </c>
      <c r="V708" s="11">
        <v>-44</v>
      </c>
      <c r="W708" s="11">
        <v>-44</v>
      </c>
      <c r="X708" s="11">
        <v>-42</v>
      </c>
      <c r="Y708" s="11">
        <v>-32</v>
      </c>
      <c r="Z708" s="11">
        <v>-52</v>
      </c>
      <c r="AA708" s="11">
        <v>9.9</v>
      </c>
      <c r="AB708" s="11">
        <v>185</v>
      </c>
      <c r="AC708" s="11">
        <v>-16.3</v>
      </c>
      <c r="AD708" s="11">
        <v>241</v>
      </c>
      <c r="AE708" s="11">
        <v>-11.5</v>
      </c>
      <c r="AF708" s="11">
        <v>258</v>
      </c>
      <c r="AG708" s="11">
        <v>-10.199999999999999</v>
      </c>
      <c r="AH708" s="11">
        <v>76</v>
      </c>
      <c r="AI708" s="11">
        <v>76</v>
      </c>
      <c r="AJ708" s="11">
        <v>104</v>
      </c>
      <c r="AK708" s="11" t="s">
        <v>48</v>
      </c>
      <c r="AL708" s="11" t="s">
        <v>44</v>
      </c>
      <c r="AM708" s="10">
        <v>3</v>
      </c>
      <c r="AN708" s="9">
        <v>55</v>
      </c>
      <c r="AO708" s="8" t="s">
        <v>1825</v>
      </c>
      <c r="AP708" s="8">
        <v>950</v>
      </c>
      <c r="AQ708" s="8">
        <v>23.2</v>
      </c>
      <c r="AR708" s="8">
        <v>26.5</v>
      </c>
      <c r="AS708" s="8">
        <v>25</v>
      </c>
      <c r="AT708" s="8">
        <v>37</v>
      </c>
      <c r="AU708" s="8">
        <v>12.6</v>
      </c>
      <c r="AV708" s="8">
        <v>67</v>
      </c>
      <c r="AW708" s="8">
        <v>51</v>
      </c>
      <c r="AX708" s="8">
        <v>238</v>
      </c>
      <c r="AY708" s="8">
        <v>78</v>
      </c>
      <c r="AZ708" s="8" t="s">
        <v>43</v>
      </c>
      <c r="BA708" s="7" t="s">
        <v>46</v>
      </c>
      <c r="BB708" s="9">
        <v>41</v>
      </c>
      <c r="BC708" s="8" t="s">
        <v>1824</v>
      </c>
      <c r="BD708" s="8">
        <v>0.6</v>
      </c>
      <c r="BE708" s="8">
        <v>0.8</v>
      </c>
      <c r="BF708" s="8">
        <v>1.7</v>
      </c>
      <c r="BG708" s="8">
        <v>3.3</v>
      </c>
      <c r="BH708" s="8">
        <v>5.2</v>
      </c>
      <c r="BI708" s="8">
        <v>9.6</v>
      </c>
      <c r="BJ708" s="8">
        <v>13.8</v>
      </c>
      <c r="BK708" s="8">
        <v>12.7</v>
      </c>
      <c r="BL708" s="8">
        <v>7.7</v>
      </c>
      <c r="BM708" s="8">
        <v>4.2</v>
      </c>
      <c r="BN708" s="8">
        <v>1.9</v>
      </c>
      <c r="BO708" s="8">
        <v>1</v>
      </c>
      <c r="BP708" s="7">
        <v>5.2</v>
      </c>
    </row>
    <row r="709" spans="1:68" ht="14.25" customHeight="1">
      <c r="A709" s="12">
        <v>52</v>
      </c>
      <c r="B709" s="14">
        <v>3</v>
      </c>
      <c r="C709" s="13" t="s">
        <v>30</v>
      </c>
      <c r="D709" s="13" t="s">
        <v>438</v>
      </c>
      <c r="E709" s="13" t="s">
        <v>1821</v>
      </c>
      <c r="F709" s="11">
        <v>-17.5</v>
      </c>
      <c r="G709" s="11">
        <v>-16.100000000000001</v>
      </c>
      <c r="H709" s="11">
        <v>-9.1</v>
      </c>
      <c r="I709" s="11">
        <v>2.1</v>
      </c>
      <c r="J709" s="11">
        <v>11.4</v>
      </c>
      <c r="K709" s="11">
        <v>17.7</v>
      </c>
      <c r="L709" s="11">
        <v>19.8</v>
      </c>
      <c r="M709" s="11">
        <v>16.899999999999999</v>
      </c>
      <c r="N709" s="11">
        <v>10.8</v>
      </c>
      <c r="O709" s="11">
        <v>2.5</v>
      </c>
      <c r="P709" s="11">
        <v>-7.9</v>
      </c>
      <c r="Q709" s="11">
        <v>-15</v>
      </c>
      <c r="R709" s="10">
        <v>1.3</v>
      </c>
      <c r="S709" s="12">
        <v>3</v>
      </c>
      <c r="T709" s="8" t="s">
        <v>1823</v>
      </c>
      <c r="U709" s="11">
        <v>-44</v>
      </c>
      <c r="V709" s="11">
        <v>-42</v>
      </c>
      <c r="W709" s="11">
        <v>-41</v>
      </c>
      <c r="X709" s="11">
        <v>-39</v>
      </c>
      <c r="Y709" s="11">
        <v>-23</v>
      </c>
      <c r="Z709" s="11">
        <v>-52</v>
      </c>
      <c r="AA709" s="11">
        <v>10.199999999999999</v>
      </c>
      <c r="AB709" s="11">
        <v>168</v>
      </c>
      <c r="AC709" s="11">
        <v>-11.4</v>
      </c>
      <c r="AD709" s="11">
        <v>221</v>
      </c>
      <c r="AE709" s="11">
        <v>-7.7</v>
      </c>
      <c r="AF709" s="11">
        <v>235</v>
      </c>
      <c r="AG709" s="11">
        <v>-6.7</v>
      </c>
      <c r="AH709" s="11">
        <v>79</v>
      </c>
      <c r="AI709" s="11">
        <v>76</v>
      </c>
      <c r="AJ709" s="11">
        <v>145</v>
      </c>
      <c r="AK709" s="11" t="s">
        <v>39</v>
      </c>
      <c r="AL709" s="11">
        <v>5.9</v>
      </c>
      <c r="AM709" s="10">
        <v>3.9</v>
      </c>
      <c r="AN709" s="9">
        <v>3</v>
      </c>
      <c r="AO709" s="8" t="s">
        <v>1822</v>
      </c>
      <c r="AP709" s="8">
        <v>990</v>
      </c>
      <c r="AQ709" s="8">
        <v>24.5</v>
      </c>
      <c r="AR709" s="8">
        <v>27.7</v>
      </c>
      <c r="AS709" s="8">
        <v>26</v>
      </c>
      <c r="AT709" s="8">
        <v>38</v>
      </c>
      <c r="AU709" s="8">
        <v>12.3</v>
      </c>
      <c r="AV709" s="8">
        <v>70</v>
      </c>
      <c r="AW709" s="8">
        <v>54</v>
      </c>
      <c r="AX709" s="8">
        <v>340</v>
      </c>
      <c r="AY709" s="8">
        <v>61</v>
      </c>
      <c r="AZ709" s="8" t="s">
        <v>37</v>
      </c>
      <c r="BA709" s="7">
        <v>0</v>
      </c>
      <c r="BB709" s="9">
        <v>3</v>
      </c>
      <c r="BC709" s="8" t="s">
        <v>1821</v>
      </c>
      <c r="BD709" s="8">
        <v>1.6</v>
      </c>
      <c r="BE709" s="8">
        <v>1.7</v>
      </c>
      <c r="BF709" s="8">
        <v>2.8</v>
      </c>
      <c r="BG709" s="8">
        <v>5.2</v>
      </c>
      <c r="BH709" s="8">
        <v>7.5</v>
      </c>
      <c r="BI709" s="8">
        <v>12.4</v>
      </c>
      <c r="BJ709" s="8">
        <v>15.5</v>
      </c>
      <c r="BK709" s="8">
        <v>13.4</v>
      </c>
      <c r="BL709" s="8">
        <v>9.1</v>
      </c>
      <c r="BM709" s="8">
        <v>5.6</v>
      </c>
      <c r="BN709" s="8">
        <v>3.2</v>
      </c>
      <c r="BO709" s="8">
        <v>2</v>
      </c>
      <c r="BP709" s="7">
        <v>6.7</v>
      </c>
    </row>
    <row r="710" spans="1:68" ht="14.25" customHeight="1">
      <c r="A710" s="12">
        <v>53</v>
      </c>
      <c r="B710" s="14">
        <v>403</v>
      </c>
      <c r="C710" s="13" t="s">
        <v>30</v>
      </c>
      <c r="D710" s="13" t="s">
        <v>57</v>
      </c>
      <c r="E710" s="13" t="s">
        <v>1819</v>
      </c>
      <c r="F710" s="11">
        <v>-41.8</v>
      </c>
      <c r="G710" s="11">
        <v>-37.4</v>
      </c>
      <c r="H710" s="11">
        <v>-23.8</v>
      </c>
      <c r="I710" s="11">
        <v>-8.8000000000000007</v>
      </c>
      <c r="J710" s="11">
        <v>4.2</v>
      </c>
      <c r="K710" s="11">
        <v>13.7</v>
      </c>
      <c r="L710" s="11">
        <v>17.100000000000001</v>
      </c>
      <c r="M710" s="11">
        <v>13.6</v>
      </c>
      <c r="N710" s="11">
        <v>5</v>
      </c>
      <c r="O710" s="11">
        <v>-9.6</v>
      </c>
      <c r="P710" s="11">
        <v>-30.6</v>
      </c>
      <c r="Q710" s="11">
        <v>-40.1</v>
      </c>
      <c r="R710" s="10">
        <v>-11.5</v>
      </c>
      <c r="S710" s="12">
        <v>403</v>
      </c>
      <c r="T710" s="8" t="s">
        <v>1819</v>
      </c>
      <c r="U710" s="11">
        <v>-58</v>
      </c>
      <c r="V710" s="11">
        <v>-56</v>
      </c>
      <c r="W710" s="11">
        <v>-54</v>
      </c>
      <c r="X710" s="11">
        <v>-52</v>
      </c>
      <c r="Y710" s="11">
        <v>-47</v>
      </c>
      <c r="Z710" s="11">
        <v>-63</v>
      </c>
      <c r="AA710" s="11">
        <v>7.9</v>
      </c>
      <c r="AB710" s="11">
        <v>222</v>
      </c>
      <c r="AC710" s="11">
        <v>-25.7</v>
      </c>
      <c r="AD710" s="11">
        <v>265</v>
      </c>
      <c r="AE710" s="11">
        <v>-20.8</v>
      </c>
      <c r="AF710" s="11">
        <v>279</v>
      </c>
      <c r="AG710" s="11">
        <v>-19.399999999999999</v>
      </c>
      <c r="AH710" s="11">
        <v>72</v>
      </c>
      <c r="AI710" s="11">
        <v>69</v>
      </c>
      <c r="AJ710" s="11">
        <v>53</v>
      </c>
      <c r="AK710" s="11" t="s">
        <v>66</v>
      </c>
      <c r="AL710" s="11" t="s">
        <v>44</v>
      </c>
      <c r="AM710" s="10">
        <v>2.2999999999999998</v>
      </c>
      <c r="AN710" s="9">
        <v>403</v>
      </c>
      <c r="AO710" s="8" t="s">
        <v>1820</v>
      </c>
      <c r="AP710" s="8">
        <v>1000</v>
      </c>
      <c r="AQ710" s="8">
        <v>20.9</v>
      </c>
      <c r="AR710" s="8">
        <v>25.1</v>
      </c>
      <c r="AS710" s="8">
        <v>23.3</v>
      </c>
      <c r="AT710" s="8">
        <v>38</v>
      </c>
      <c r="AU710" s="8">
        <v>13</v>
      </c>
      <c r="AV710" s="8">
        <v>68</v>
      </c>
      <c r="AW710" s="8">
        <v>55</v>
      </c>
      <c r="AX710" s="8">
        <v>240</v>
      </c>
      <c r="AY710" s="8">
        <v>68</v>
      </c>
      <c r="AZ710" s="8" t="s">
        <v>43</v>
      </c>
      <c r="BA710" s="7" t="s">
        <v>46</v>
      </c>
      <c r="BB710" s="9">
        <v>367</v>
      </c>
      <c r="BC710" s="8" t="s">
        <v>1819</v>
      </c>
      <c r="BD710" s="8">
        <v>0.1</v>
      </c>
      <c r="BE710" s="8">
        <v>0.2</v>
      </c>
      <c r="BF710" s="8">
        <v>0.8</v>
      </c>
      <c r="BG710" s="8">
        <v>2.2000000000000002</v>
      </c>
      <c r="BH710" s="8">
        <v>4.8</v>
      </c>
      <c r="BI710" s="8">
        <v>9.8000000000000007</v>
      </c>
      <c r="BJ710" s="8">
        <v>13.3</v>
      </c>
      <c r="BK710" s="8">
        <v>11.5</v>
      </c>
      <c r="BL710" s="8">
        <v>6.5</v>
      </c>
      <c r="BM710" s="8">
        <v>2.7</v>
      </c>
      <c r="BN710" s="8">
        <v>0.5</v>
      </c>
      <c r="BO710" s="8">
        <v>0.2</v>
      </c>
      <c r="BP710" s="7">
        <v>4.4000000000000004</v>
      </c>
    </row>
    <row r="711" spans="1:68" ht="14.25" customHeight="1">
      <c r="A711" s="12">
        <v>54</v>
      </c>
      <c r="B711" s="14">
        <v>494</v>
      </c>
      <c r="C711" s="13" t="s">
        <v>224</v>
      </c>
      <c r="D711" s="13" t="s">
        <v>224</v>
      </c>
      <c r="E711" s="13" t="s">
        <v>1818</v>
      </c>
      <c r="F711" s="11">
        <v>7.1</v>
      </c>
      <c r="G711" s="11">
        <v>7.3</v>
      </c>
      <c r="H711" s="11">
        <v>8.4</v>
      </c>
      <c r="I711" s="11">
        <v>11.9</v>
      </c>
      <c r="J711" s="11">
        <v>16.399999999999999</v>
      </c>
      <c r="K711" s="11">
        <v>20.399999999999999</v>
      </c>
      <c r="L711" s="11">
        <v>22.8</v>
      </c>
      <c r="M711" s="11">
        <v>23</v>
      </c>
      <c r="N711" s="11">
        <v>20.2</v>
      </c>
      <c r="O711" s="11">
        <v>16</v>
      </c>
      <c r="P711" s="11">
        <v>12.3</v>
      </c>
      <c r="Q711" s="11">
        <v>9.3000000000000007</v>
      </c>
      <c r="R711" s="10">
        <v>14.6</v>
      </c>
      <c r="S711" s="12">
        <v>494</v>
      </c>
      <c r="T711" s="8" t="s">
        <v>1816</v>
      </c>
      <c r="U711" s="11">
        <v>-4</v>
      </c>
      <c r="V711" s="11">
        <v>-2</v>
      </c>
      <c r="W711" s="11">
        <v>-2</v>
      </c>
      <c r="X711" s="11">
        <v>-1</v>
      </c>
      <c r="Y711" s="11">
        <v>4</v>
      </c>
      <c r="Z711" s="11">
        <v>-8</v>
      </c>
      <c r="AA711" s="11">
        <v>6.4</v>
      </c>
      <c r="AB711" s="11">
        <v>0</v>
      </c>
      <c r="AC711" s="11" t="s">
        <v>50</v>
      </c>
      <c r="AD711" s="11">
        <v>64</v>
      </c>
      <c r="AE711" s="11">
        <v>7.3</v>
      </c>
      <c r="AF711" s="11">
        <v>112</v>
      </c>
      <c r="AG711" s="11">
        <v>8.1</v>
      </c>
      <c r="AH711" s="11" t="s">
        <v>49</v>
      </c>
      <c r="AI711" s="11">
        <v>70</v>
      </c>
      <c r="AJ711" s="11">
        <v>1231</v>
      </c>
      <c r="AK711" s="11" t="s">
        <v>27</v>
      </c>
      <c r="AL711" s="11" t="s">
        <v>44</v>
      </c>
      <c r="AM711" s="10">
        <v>3.2</v>
      </c>
      <c r="AN711" s="9">
        <v>494</v>
      </c>
      <c r="AO711" s="8" t="s">
        <v>1817</v>
      </c>
      <c r="AP711" s="8">
        <v>1015</v>
      </c>
      <c r="AQ711" s="8">
        <v>32</v>
      </c>
      <c r="AR711" s="8">
        <v>26</v>
      </c>
      <c r="AS711" s="8">
        <v>30.2</v>
      </c>
      <c r="AT711" s="8">
        <v>38</v>
      </c>
      <c r="AU711" s="8">
        <v>6.6</v>
      </c>
      <c r="AV711" s="8">
        <v>79</v>
      </c>
      <c r="AW711" s="8">
        <v>71</v>
      </c>
      <c r="AX711" s="8" t="s">
        <v>44</v>
      </c>
      <c r="AY711" s="8">
        <v>276</v>
      </c>
      <c r="AZ711" s="8" t="s">
        <v>82</v>
      </c>
      <c r="BA711" s="7">
        <v>1.1000000000000001</v>
      </c>
      <c r="BB711" s="9"/>
      <c r="BC711" s="8" t="s">
        <v>1816</v>
      </c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7"/>
    </row>
    <row r="712" spans="1:68" ht="14.25" customHeight="1">
      <c r="A712" s="12">
        <v>55</v>
      </c>
      <c r="B712" s="14">
        <v>530</v>
      </c>
      <c r="C712" s="13" t="s">
        <v>121</v>
      </c>
      <c r="D712" s="13" t="s">
        <v>638</v>
      </c>
      <c r="E712" s="13" t="s">
        <v>1814</v>
      </c>
      <c r="F712" s="11">
        <v>-13.2</v>
      </c>
      <c r="G712" s="11">
        <v>-11.4</v>
      </c>
      <c r="H712" s="11">
        <v>-1.9</v>
      </c>
      <c r="I712" s="11">
        <v>9.4</v>
      </c>
      <c r="J712" s="11">
        <v>15.8</v>
      </c>
      <c r="K712" s="11">
        <v>20.7</v>
      </c>
      <c r="L712" s="11">
        <v>23</v>
      </c>
      <c r="M712" s="11">
        <v>21.5</v>
      </c>
      <c r="N712" s="11">
        <v>15.4</v>
      </c>
      <c r="O712" s="11">
        <v>7.3</v>
      </c>
      <c r="P712" s="11">
        <v>-2.8</v>
      </c>
      <c r="Q712" s="11">
        <v>-10.5</v>
      </c>
      <c r="R712" s="10">
        <v>6.1</v>
      </c>
      <c r="S712" s="12">
        <v>530</v>
      </c>
      <c r="T712" s="8" t="s">
        <v>1814</v>
      </c>
      <c r="U712" s="11">
        <v>-38</v>
      </c>
      <c r="V712" s="11">
        <v>-36</v>
      </c>
      <c r="W712" s="11">
        <v>-33</v>
      </c>
      <c r="X712" s="11">
        <v>-30</v>
      </c>
      <c r="Y712" s="11" t="s">
        <v>49</v>
      </c>
      <c r="Z712" s="11" t="s">
        <v>44</v>
      </c>
      <c r="AA712" s="11">
        <v>13.5</v>
      </c>
      <c r="AB712" s="11">
        <v>135</v>
      </c>
      <c r="AC712" s="11">
        <v>-9.1</v>
      </c>
      <c r="AD712" s="11">
        <v>181</v>
      </c>
      <c r="AE712" s="11">
        <v>-5.6</v>
      </c>
      <c r="AF712" s="11">
        <v>194</v>
      </c>
      <c r="AG712" s="11">
        <v>-4.5999999999999996</v>
      </c>
      <c r="AH712" s="11">
        <v>76</v>
      </c>
      <c r="AI712" s="11" t="s">
        <v>49</v>
      </c>
      <c r="AJ712" s="11">
        <v>125</v>
      </c>
      <c r="AK712" s="11" t="s">
        <v>44</v>
      </c>
      <c r="AL712" s="11" t="s">
        <v>44</v>
      </c>
      <c r="AM712" s="10" t="s">
        <v>44</v>
      </c>
      <c r="AN712" s="9">
        <v>530</v>
      </c>
      <c r="AO712" s="8" t="s">
        <v>1815</v>
      </c>
      <c r="AP712" s="8" t="s">
        <v>64</v>
      </c>
      <c r="AQ712" s="8" t="s">
        <v>45</v>
      </c>
      <c r="AR712" s="8" t="s">
        <v>44</v>
      </c>
      <c r="AS712" s="8">
        <v>30.9</v>
      </c>
      <c r="AT712" s="8">
        <v>42</v>
      </c>
      <c r="AU712" s="8">
        <v>17.3</v>
      </c>
      <c r="AV712" s="8">
        <v>52</v>
      </c>
      <c r="AW712" s="8" t="s">
        <v>44</v>
      </c>
      <c r="AX712" s="8">
        <v>153</v>
      </c>
      <c r="AY712" s="8" t="s">
        <v>64</v>
      </c>
      <c r="AZ712" s="8" t="s">
        <v>114</v>
      </c>
      <c r="BA712" s="7" t="s">
        <v>46</v>
      </c>
      <c r="BB712" s="9"/>
      <c r="BC712" s="8" t="s">
        <v>1814</v>
      </c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7"/>
    </row>
    <row r="713" spans="1:68" ht="14.25" customHeight="1">
      <c r="A713" s="12">
        <v>56</v>
      </c>
      <c r="B713" s="14">
        <v>526</v>
      </c>
      <c r="C713" s="13" t="s">
        <v>121</v>
      </c>
      <c r="D713" s="13" t="s">
        <v>814</v>
      </c>
      <c r="E713" s="13" t="s">
        <v>1812</v>
      </c>
      <c r="F713" s="11">
        <v>-13.2</v>
      </c>
      <c r="G713" s="11">
        <v>-13.1</v>
      </c>
      <c r="H713" s="11">
        <v>-7</v>
      </c>
      <c r="I713" s="11">
        <v>4.7</v>
      </c>
      <c r="J713" s="11">
        <v>12.7</v>
      </c>
      <c r="K713" s="11">
        <v>18.600000000000001</v>
      </c>
      <c r="L713" s="11">
        <v>20.5</v>
      </c>
      <c r="M713" s="11">
        <v>17.7</v>
      </c>
      <c r="N713" s="11">
        <v>12.1</v>
      </c>
      <c r="O713" s="11">
        <v>3.5</v>
      </c>
      <c r="P713" s="11">
        <v>-5.7</v>
      </c>
      <c r="Q713" s="11">
        <v>-11.4</v>
      </c>
      <c r="R713" s="10">
        <v>3.3</v>
      </c>
      <c r="S713" s="12">
        <v>526</v>
      </c>
      <c r="T713" s="8" t="s">
        <v>1812</v>
      </c>
      <c r="U713" s="11">
        <v>-39</v>
      </c>
      <c r="V713" s="11">
        <v>-37</v>
      </c>
      <c r="W713" s="11">
        <v>-35</v>
      </c>
      <c r="X713" s="11">
        <v>-32</v>
      </c>
      <c r="Y713" s="11" t="s">
        <v>49</v>
      </c>
      <c r="Z713" s="11" t="s">
        <v>44</v>
      </c>
      <c r="AA713" s="11">
        <v>8.9</v>
      </c>
      <c r="AB713" s="11">
        <v>157</v>
      </c>
      <c r="AC713" s="11">
        <v>-9.6999999999999993</v>
      </c>
      <c r="AD713" s="11">
        <v>208</v>
      </c>
      <c r="AE713" s="11">
        <v>-6.3</v>
      </c>
      <c r="AF713" s="11">
        <v>224</v>
      </c>
      <c r="AG713" s="11">
        <v>-5.2</v>
      </c>
      <c r="AH713" s="11">
        <v>72</v>
      </c>
      <c r="AI713" s="11" t="s">
        <v>49</v>
      </c>
      <c r="AJ713" s="11">
        <v>88</v>
      </c>
      <c r="AK713" s="11" t="s">
        <v>48</v>
      </c>
      <c r="AL713" s="11">
        <v>8.6999999999999993</v>
      </c>
      <c r="AM713" s="10">
        <v>3.9</v>
      </c>
      <c r="AN713" s="9">
        <v>526</v>
      </c>
      <c r="AO713" s="8" t="s">
        <v>1813</v>
      </c>
      <c r="AP713" s="8" t="s">
        <v>64</v>
      </c>
      <c r="AQ713" s="8" t="s">
        <v>45</v>
      </c>
      <c r="AR713" s="8" t="s">
        <v>44</v>
      </c>
      <c r="AS713" s="8">
        <v>26.2</v>
      </c>
      <c r="AT713" s="8">
        <v>38</v>
      </c>
      <c r="AU713" s="8">
        <v>11.6</v>
      </c>
      <c r="AV713" s="8">
        <v>54</v>
      </c>
      <c r="AW713" s="8" t="s">
        <v>44</v>
      </c>
      <c r="AX713" s="8">
        <v>273</v>
      </c>
      <c r="AY713" s="8" t="s">
        <v>64</v>
      </c>
      <c r="AZ713" s="8" t="s">
        <v>43</v>
      </c>
      <c r="BA713" s="7">
        <v>4.5</v>
      </c>
      <c r="BB713" s="9"/>
      <c r="BC713" s="8" t="s">
        <v>1812</v>
      </c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7"/>
    </row>
    <row r="714" spans="1:68" ht="14.25" customHeight="1">
      <c r="A714" s="12">
        <v>57</v>
      </c>
      <c r="B714" s="14">
        <v>314</v>
      </c>
      <c r="C714" s="13" t="s">
        <v>30</v>
      </c>
      <c r="D714" s="13" t="s">
        <v>473</v>
      </c>
      <c r="E714" s="13" t="s">
        <v>1809</v>
      </c>
      <c r="F714" s="11">
        <v>-10.7</v>
      </c>
      <c r="G714" s="11">
        <v>-10.199999999999999</v>
      </c>
      <c r="H714" s="11">
        <v>-5.2</v>
      </c>
      <c r="I714" s="11">
        <v>3.2</v>
      </c>
      <c r="J714" s="11">
        <v>10.8</v>
      </c>
      <c r="K714" s="11">
        <v>15.2</v>
      </c>
      <c r="L714" s="11">
        <v>17.100000000000001</v>
      </c>
      <c r="M714" s="11">
        <v>15.4</v>
      </c>
      <c r="N714" s="11">
        <v>9.8000000000000007</v>
      </c>
      <c r="O714" s="11">
        <v>3.6</v>
      </c>
      <c r="P714" s="11">
        <v>-2.2999999999999998</v>
      </c>
      <c r="Q714" s="11">
        <v>-7.7</v>
      </c>
      <c r="R714" s="10">
        <v>3.2</v>
      </c>
      <c r="S714" s="12">
        <v>314</v>
      </c>
      <c r="T714" s="8" t="s">
        <v>1811</v>
      </c>
      <c r="U714" s="11">
        <v>-38</v>
      </c>
      <c r="V714" s="11">
        <v>-34</v>
      </c>
      <c r="W714" s="11">
        <v>-34</v>
      </c>
      <c r="X714" s="11">
        <v>-31</v>
      </c>
      <c r="Y714" s="11">
        <v>-16</v>
      </c>
      <c r="Z714" s="11">
        <v>-52</v>
      </c>
      <c r="AA714" s="11">
        <v>6.8</v>
      </c>
      <c r="AB714" s="11">
        <v>151</v>
      </c>
      <c r="AC714" s="11">
        <v>-6.8</v>
      </c>
      <c r="AD714" s="11">
        <v>222</v>
      </c>
      <c r="AE714" s="11">
        <v>-3.4</v>
      </c>
      <c r="AF714" s="11">
        <v>240</v>
      </c>
      <c r="AG714" s="11">
        <v>-2.4</v>
      </c>
      <c r="AH714" s="11">
        <v>84</v>
      </c>
      <c r="AI714" s="11">
        <v>84</v>
      </c>
      <c r="AJ714" s="11">
        <v>169</v>
      </c>
      <c r="AK714" s="11" t="s">
        <v>39</v>
      </c>
      <c r="AL714" s="11">
        <v>5</v>
      </c>
      <c r="AM714" s="10">
        <v>4</v>
      </c>
      <c r="AN714" s="9">
        <v>314</v>
      </c>
      <c r="AO714" s="8" t="s">
        <v>1810</v>
      </c>
      <c r="AP714" s="8">
        <v>995</v>
      </c>
      <c r="AQ714" s="8">
        <v>19.8</v>
      </c>
      <c r="AR714" s="8">
        <v>24.1</v>
      </c>
      <c r="AS714" s="8">
        <v>22.2</v>
      </c>
      <c r="AT714" s="8">
        <v>35</v>
      </c>
      <c r="AU714" s="8">
        <v>10.4</v>
      </c>
      <c r="AV714" s="8">
        <v>76</v>
      </c>
      <c r="AW714" s="8">
        <v>60</v>
      </c>
      <c r="AX714" s="8">
        <v>416</v>
      </c>
      <c r="AY714" s="8">
        <v>78</v>
      </c>
      <c r="AZ714" s="8" t="s">
        <v>43</v>
      </c>
      <c r="BA714" s="7">
        <v>3.1</v>
      </c>
      <c r="BB714" s="9">
        <v>282</v>
      </c>
      <c r="BC714" s="8" t="s">
        <v>1809</v>
      </c>
      <c r="BD714" s="8">
        <v>2.7</v>
      </c>
      <c r="BE714" s="8">
        <v>2.7</v>
      </c>
      <c r="BF714" s="8">
        <v>3.6</v>
      </c>
      <c r="BG714" s="8">
        <v>6</v>
      </c>
      <c r="BH714" s="8">
        <v>8.9</v>
      </c>
      <c r="BI714" s="8">
        <v>12.4</v>
      </c>
      <c r="BJ714" s="8">
        <v>14.6</v>
      </c>
      <c r="BK714" s="8">
        <v>13.8</v>
      </c>
      <c r="BL714" s="8">
        <v>10.1</v>
      </c>
      <c r="BM714" s="8">
        <v>7</v>
      </c>
      <c r="BN714" s="8">
        <v>4.8</v>
      </c>
      <c r="BO714" s="8">
        <v>3.5</v>
      </c>
      <c r="BP714" s="7">
        <v>7.5</v>
      </c>
    </row>
    <row r="715" spans="1:68" ht="14.25" customHeight="1">
      <c r="A715" s="12">
        <v>58</v>
      </c>
      <c r="B715" s="14">
        <v>52</v>
      </c>
      <c r="C715" s="13" t="s">
        <v>30</v>
      </c>
      <c r="D715" s="13" t="s">
        <v>1808</v>
      </c>
      <c r="E715" s="13" t="s">
        <v>1805</v>
      </c>
      <c r="F715" s="11">
        <v>-8.5</v>
      </c>
      <c r="G715" s="11">
        <v>-6.4</v>
      </c>
      <c r="H715" s="11">
        <v>-2.5</v>
      </c>
      <c r="I715" s="11">
        <v>7.5</v>
      </c>
      <c r="J715" s="11">
        <v>14.6</v>
      </c>
      <c r="K715" s="11">
        <v>17.899999999999999</v>
      </c>
      <c r="L715" s="11">
        <v>19.899999999999999</v>
      </c>
      <c r="M715" s="11">
        <v>18.7</v>
      </c>
      <c r="N715" s="11">
        <v>12.9</v>
      </c>
      <c r="O715" s="11">
        <v>6.4</v>
      </c>
      <c r="P715" s="11">
        <v>0.3</v>
      </c>
      <c r="Q715" s="11">
        <v>-4.5</v>
      </c>
      <c r="R715" s="10">
        <v>6.4</v>
      </c>
      <c r="S715" s="12">
        <v>52</v>
      </c>
      <c r="T715" s="8" t="s">
        <v>1807</v>
      </c>
      <c r="U715" s="11">
        <v>-29</v>
      </c>
      <c r="V715" s="11">
        <v>-28</v>
      </c>
      <c r="W715" s="11">
        <v>-27</v>
      </c>
      <c r="X715" s="11">
        <v>-23</v>
      </c>
      <c r="Y715" s="11">
        <v>-13</v>
      </c>
      <c r="Z715" s="11">
        <v>-35</v>
      </c>
      <c r="AA715" s="11">
        <v>5.9</v>
      </c>
      <c r="AB715" s="11">
        <v>126</v>
      </c>
      <c r="AC715" s="11">
        <v>-5</v>
      </c>
      <c r="AD715" s="11">
        <v>191</v>
      </c>
      <c r="AE715" s="11">
        <v>-1.9</v>
      </c>
      <c r="AF715" s="11">
        <v>209</v>
      </c>
      <c r="AG715" s="11">
        <v>-1</v>
      </c>
      <c r="AH715" s="11">
        <v>84</v>
      </c>
      <c r="AI715" s="11">
        <v>84</v>
      </c>
      <c r="AJ715" s="11">
        <v>191</v>
      </c>
      <c r="AK715" s="11" t="s">
        <v>39</v>
      </c>
      <c r="AL715" s="11">
        <v>5.9</v>
      </c>
      <c r="AM715" s="10">
        <v>5.3</v>
      </c>
      <c r="AN715" s="9">
        <v>52</v>
      </c>
      <c r="AO715" s="8" t="s">
        <v>1806</v>
      </c>
      <c r="AP715" s="8">
        <v>990</v>
      </c>
      <c r="AQ715" s="8">
        <v>23.3</v>
      </c>
      <c r="AR715" s="8">
        <v>27.4</v>
      </c>
      <c r="AS715" s="8">
        <v>25.7</v>
      </c>
      <c r="AT715" s="8">
        <v>38</v>
      </c>
      <c r="AU715" s="8">
        <v>11.4</v>
      </c>
      <c r="AV715" s="8">
        <v>66</v>
      </c>
      <c r="AW715" s="8">
        <v>52</v>
      </c>
      <c r="AX715" s="8">
        <v>362</v>
      </c>
      <c r="AY715" s="8">
        <v>83</v>
      </c>
      <c r="AZ715" s="8" t="s">
        <v>37</v>
      </c>
      <c r="BA715" s="7">
        <v>4.0999999999999996</v>
      </c>
      <c r="BB715" s="9">
        <v>38</v>
      </c>
      <c r="BC715" s="8" t="s">
        <v>1805</v>
      </c>
      <c r="BD715" s="8">
        <v>3.2</v>
      </c>
      <c r="BE715" s="8">
        <v>3.6</v>
      </c>
      <c r="BF715" s="8">
        <v>4.5</v>
      </c>
      <c r="BG715" s="8">
        <v>7.2</v>
      </c>
      <c r="BH715" s="8">
        <v>9.9</v>
      </c>
      <c r="BI715" s="8">
        <v>12.8</v>
      </c>
      <c r="BJ715" s="8">
        <v>14.9</v>
      </c>
      <c r="BK715" s="8">
        <v>13.7</v>
      </c>
      <c r="BL715" s="8">
        <v>10.199999999999999</v>
      </c>
      <c r="BM715" s="8">
        <v>7.7</v>
      </c>
      <c r="BN715" s="8">
        <v>5.7</v>
      </c>
      <c r="BO715" s="8">
        <v>4.4000000000000004</v>
      </c>
      <c r="BP715" s="7">
        <v>8.1999999999999993</v>
      </c>
    </row>
    <row r="716" spans="1:68" ht="14.25" customHeight="1">
      <c r="A716" s="12">
        <v>59</v>
      </c>
      <c r="B716" s="14">
        <v>15</v>
      </c>
      <c r="C716" s="13" t="s">
        <v>30</v>
      </c>
      <c r="D716" s="13" t="s">
        <v>99</v>
      </c>
      <c r="E716" s="13" t="s">
        <v>1802</v>
      </c>
      <c r="F716" s="11">
        <v>-27.1</v>
      </c>
      <c r="G716" s="11">
        <v>-20.7</v>
      </c>
      <c r="H716" s="11">
        <v>-10.9</v>
      </c>
      <c r="I716" s="11">
        <v>1.8</v>
      </c>
      <c r="J716" s="11">
        <v>10.3</v>
      </c>
      <c r="K716" s="11">
        <v>17.399999999999999</v>
      </c>
      <c r="L716" s="11">
        <v>21.1</v>
      </c>
      <c r="M716" s="11">
        <v>18.7</v>
      </c>
      <c r="N716" s="11">
        <v>11.7</v>
      </c>
      <c r="O716" s="11">
        <v>1.3</v>
      </c>
      <c r="P716" s="11">
        <v>-13.5</v>
      </c>
      <c r="Q716" s="11">
        <v>-24</v>
      </c>
      <c r="R716" s="10">
        <v>-1.2</v>
      </c>
      <c r="S716" s="12">
        <v>15</v>
      </c>
      <c r="T716" s="8" t="s">
        <v>1804</v>
      </c>
      <c r="U716" s="11">
        <v>-43</v>
      </c>
      <c r="V716" s="11">
        <v>-40</v>
      </c>
      <c r="W716" s="11">
        <v>-41</v>
      </c>
      <c r="X716" s="11">
        <v>-37</v>
      </c>
      <c r="Y716" s="11">
        <v>-32</v>
      </c>
      <c r="Z716" s="11">
        <v>-48</v>
      </c>
      <c r="AA716" s="11">
        <v>10</v>
      </c>
      <c r="AB716" s="11">
        <v>174</v>
      </c>
      <c r="AC716" s="11">
        <v>-16.399999999999999</v>
      </c>
      <c r="AD716" s="11">
        <v>223</v>
      </c>
      <c r="AE716" s="11">
        <v>-11.9</v>
      </c>
      <c r="AF716" s="11">
        <v>236</v>
      </c>
      <c r="AG716" s="11">
        <v>-10.7</v>
      </c>
      <c r="AH716" s="11">
        <v>76</v>
      </c>
      <c r="AI716" s="11">
        <v>73</v>
      </c>
      <c r="AJ716" s="11">
        <v>53</v>
      </c>
      <c r="AK716" s="11" t="s">
        <v>75</v>
      </c>
      <c r="AL716" s="11">
        <v>2.7</v>
      </c>
      <c r="AM716" s="10">
        <v>2.9</v>
      </c>
      <c r="AN716" s="9">
        <v>15</v>
      </c>
      <c r="AO716" s="8" t="s">
        <v>1803</v>
      </c>
      <c r="AP716" s="8">
        <v>985</v>
      </c>
      <c r="AQ716" s="8">
        <v>24.2</v>
      </c>
      <c r="AR716" s="8">
        <v>28.3</v>
      </c>
      <c r="AS716" s="8">
        <v>26.6</v>
      </c>
      <c r="AT716" s="8">
        <v>40</v>
      </c>
      <c r="AU716" s="8">
        <v>10.9</v>
      </c>
      <c r="AV716" s="8">
        <v>75</v>
      </c>
      <c r="AW716" s="8">
        <v>61</v>
      </c>
      <c r="AX716" s="8">
        <v>481</v>
      </c>
      <c r="AY716" s="8">
        <v>105</v>
      </c>
      <c r="AZ716" s="8" t="s">
        <v>151</v>
      </c>
      <c r="BA716" s="7">
        <v>3.1</v>
      </c>
      <c r="BB716" s="9"/>
      <c r="BC716" s="8" t="s">
        <v>1802</v>
      </c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7"/>
    </row>
    <row r="717" spans="1:68" ht="14.25" customHeight="1">
      <c r="A717" s="12">
        <v>60</v>
      </c>
      <c r="B717" s="14">
        <v>47</v>
      </c>
      <c r="C717" s="13" t="s">
        <v>30</v>
      </c>
      <c r="D717" s="13" t="s">
        <v>41</v>
      </c>
      <c r="E717" s="13" t="s">
        <v>1799</v>
      </c>
      <c r="F717" s="11">
        <v>-16.2</v>
      </c>
      <c r="G717" s="11">
        <v>-14.4</v>
      </c>
      <c r="H717" s="11">
        <v>-7.8</v>
      </c>
      <c r="I717" s="11">
        <v>2.7</v>
      </c>
      <c r="J717" s="11">
        <v>10.199999999999999</v>
      </c>
      <c r="K717" s="11">
        <v>14.5</v>
      </c>
      <c r="L717" s="11">
        <v>16</v>
      </c>
      <c r="M717" s="11">
        <v>14.2</v>
      </c>
      <c r="N717" s="11">
        <v>8.6999999999999993</v>
      </c>
      <c r="O717" s="11">
        <v>0.7</v>
      </c>
      <c r="P717" s="11">
        <v>-7.4</v>
      </c>
      <c r="Q717" s="11">
        <v>-13.8</v>
      </c>
      <c r="R717" s="10">
        <v>0.6</v>
      </c>
      <c r="S717" s="12">
        <v>47</v>
      </c>
      <c r="T717" s="8" t="s">
        <v>1801</v>
      </c>
      <c r="U717" s="11">
        <v>-39</v>
      </c>
      <c r="V717" s="11">
        <v>-37</v>
      </c>
      <c r="W717" s="11">
        <v>-37</v>
      </c>
      <c r="X717" s="11">
        <v>-34</v>
      </c>
      <c r="Y717" s="11">
        <v>-21</v>
      </c>
      <c r="Z717" s="11">
        <v>-45</v>
      </c>
      <c r="AA717" s="11">
        <v>8.5</v>
      </c>
      <c r="AB717" s="11">
        <v>171</v>
      </c>
      <c r="AC717" s="11">
        <v>-10.3</v>
      </c>
      <c r="AD717" s="11">
        <v>231</v>
      </c>
      <c r="AE717" s="11">
        <v>-6.5</v>
      </c>
      <c r="AF717" s="11">
        <v>249</v>
      </c>
      <c r="AG717" s="11">
        <v>-5.4</v>
      </c>
      <c r="AH717" s="11">
        <v>79</v>
      </c>
      <c r="AI717" s="11">
        <v>76</v>
      </c>
      <c r="AJ717" s="11">
        <v>132</v>
      </c>
      <c r="AK717" s="11" t="s">
        <v>39</v>
      </c>
      <c r="AL717" s="11">
        <v>5.6</v>
      </c>
      <c r="AM717" s="10">
        <v>3.5</v>
      </c>
      <c r="AN717" s="9">
        <v>47</v>
      </c>
      <c r="AO717" s="8" t="s">
        <v>1800</v>
      </c>
      <c r="AP717" s="8">
        <v>950</v>
      </c>
      <c r="AQ717" s="8">
        <v>20</v>
      </c>
      <c r="AR717" s="8">
        <v>24.3</v>
      </c>
      <c r="AS717" s="8">
        <v>22.4</v>
      </c>
      <c r="AT717" s="8">
        <v>38</v>
      </c>
      <c r="AU717" s="8">
        <v>11.9</v>
      </c>
      <c r="AV717" s="8">
        <v>73</v>
      </c>
      <c r="AW717" s="8">
        <v>50</v>
      </c>
      <c r="AX717" s="8">
        <v>369</v>
      </c>
      <c r="AY717" s="8">
        <v>69</v>
      </c>
      <c r="AZ717" s="8" t="s">
        <v>43</v>
      </c>
      <c r="BA717" s="7">
        <v>0</v>
      </c>
      <c r="BB717" s="9">
        <v>33</v>
      </c>
      <c r="BC717" s="8" t="s">
        <v>1799</v>
      </c>
      <c r="BD717" s="8">
        <v>1.7</v>
      </c>
      <c r="BE717" s="8">
        <v>1.7</v>
      </c>
      <c r="BF717" s="8">
        <v>2.7</v>
      </c>
      <c r="BG717" s="8">
        <v>5</v>
      </c>
      <c r="BH717" s="8">
        <v>7.3</v>
      </c>
      <c r="BI717" s="8">
        <v>10.8</v>
      </c>
      <c r="BJ717" s="8">
        <v>13.2</v>
      </c>
      <c r="BK717" s="8">
        <v>11.5</v>
      </c>
      <c r="BL717" s="8">
        <v>8.1999999999999993</v>
      </c>
      <c r="BM717" s="8">
        <v>5</v>
      </c>
      <c r="BN717" s="8">
        <v>3.2</v>
      </c>
      <c r="BO717" s="8">
        <v>2.1</v>
      </c>
      <c r="BP717" s="7">
        <v>6</v>
      </c>
    </row>
    <row r="718" spans="1:68" ht="14.25" customHeight="1">
      <c r="A718" s="12">
        <v>61</v>
      </c>
      <c r="B718" s="14">
        <v>4</v>
      </c>
      <c r="C718" s="13" t="s">
        <v>30</v>
      </c>
      <c r="D718" s="13" t="s">
        <v>438</v>
      </c>
      <c r="E718" s="13" t="s">
        <v>1796</v>
      </c>
      <c r="F718" s="11">
        <v>-9.1999999999999993</v>
      </c>
      <c r="G718" s="11">
        <v>-8.1</v>
      </c>
      <c r="H718" s="11">
        <v>-3.2</v>
      </c>
      <c r="I718" s="11">
        <v>3.2</v>
      </c>
      <c r="J718" s="11">
        <v>9.5</v>
      </c>
      <c r="K718" s="11">
        <v>14.6</v>
      </c>
      <c r="L718" s="11">
        <v>16.899999999999999</v>
      </c>
      <c r="M718" s="11">
        <v>15.5</v>
      </c>
      <c r="N718" s="11">
        <v>10.7</v>
      </c>
      <c r="O718" s="11">
        <v>4.0999999999999996</v>
      </c>
      <c r="P718" s="11">
        <v>-3.2</v>
      </c>
      <c r="Q718" s="11">
        <v>-7.9</v>
      </c>
      <c r="R718" s="10">
        <v>3.6</v>
      </c>
      <c r="S718" s="12">
        <v>4</v>
      </c>
      <c r="T718" s="8" t="s">
        <v>1798</v>
      </c>
      <c r="U718" s="11">
        <v>-27</v>
      </c>
      <c r="V718" s="11">
        <v>-26</v>
      </c>
      <c r="W718" s="11">
        <v>-25</v>
      </c>
      <c r="X718" s="11">
        <v>-23</v>
      </c>
      <c r="Y718" s="11">
        <v>-14</v>
      </c>
      <c r="Z718" s="11">
        <v>-35</v>
      </c>
      <c r="AA718" s="11">
        <v>5.9</v>
      </c>
      <c r="AB718" s="11">
        <v>149</v>
      </c>
      <c r="AC718" s="11">
        <v>-6</v>
      </c>
      <c r="AD718" s="11">
        <v>223</v>
      </c>
      <c r="AE718" s="11">
        <v>-2.7</v>
      </c>
      <c r="AF718" s="11">
        <v>242</v>
      </c>
      <c r="AG718" s="11">
        <v>-1.7</v>
      </c>
      <c r="AH718" s="11">
        <v>59</v>
      </c>
      <c r="AI718" s="11">
        <v>55</v>
      </c>
      <c r="AJ718" s="11">
        <v>121</v>
      </c>
      <c r="AK718" s="11" t="s">
        <v>27</v>
      </c>
      <c r="AL718" s="11">
        <v>7</v>
      </c>
      <c r="AM718" s="10">
        <v>4.5</v>
      </c>
      <c r="AN718" s="9">
        <v>4</v>
      </c>
      <c r="AO718" s="8" t="s">
        <v>1797</v>
      </c>
      <c r="AP718" s="8">
        <v>960</v>
      </c>
      <c r="AQ718" s="8">
        <v>19.899999999999999</v>
      </c>
      <c r="AR718" s="8">
        <v>24.2</v>
      </c>
      <c r="AS718" s="8">
        <v>22.3</v>
      </c>
      <c r="AT718" s="8">
        <v>35</v>
      </c>
      <c r="AU718" s="8">
        <v>9.5</v>
      </c>
      <c r="AV718" s="8">
        <v>72</v>
      </c>
      <c r="AW718" s="8">
        <v>64</v>
      </c>
      <c r="AX718" s="8">
        <v>463</v>
      </c>
      <c r="AY718" s="8">
        <v>97</v>
      </c>
      <c r="AZ718" s="8" t="s">
        <v>25</v>
      </c>
      <c r="BA718" s="7">
        <v>0</v>
      </c>
      <c r="BB718" s="9"/>
      <c r="BC718" s="8" t="s">
        <v>1796</v>
      </c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7"/>
    </row>
    <row r="719" spans="1:68" ht="14.25" customHeight="1">
      <c r="A719" s="12">
        <v>62</v>
      </c>
      <c r="B719" s="14">
        <v>404</v>
      </c>
      <c r="C719" s="13" t="s">
        <v>30</v>
      </c>
      <c r="D719" s="13" t="s">
        <v>57</v>
      </c>
      <c r="E719" s="13" t="s">
        <v>1794</v>
      </c>
      <c r="F719" s="11">
        <v>-40.5</v>
      </c>
      <c r="G719" s="11">
        <v>-35.700000000000003</v>
      </c>
      <c r="H719" s="11">
        <v>-22.9</v>
      </c>
      <c r="I719" s="11">
        <v>-8.3000000000000007</v>
      </c>
      <c r="J719" s="11">
        <v>4.7</v>
      </c>
      <c r="K719" s="11">
        <v>13.5</v>
      </c>
      <c r="L719" s="11">
        <v>16.3</v>
      </c>
      <c r="M719" s="11">
        <v>12.6</v>
      </c>
      <c r="N719" s="11">
        <v>3.9</v>
      </c>
      <c r="O719" s="11">
        <v>-8.6999999999999993</v>
      </c>
      <c r="P719" s="11">
        <v>-28.2</v>
      </c>
      <c r="Q719" s="11">
        <v>-38.9</v>
      </c>
      <c r="R719" s="10">
        <v>-11</v>
      </c>
      <c r="S719" s="12">
        <v>404</v>
      </c>
      <c r="T719" s="8" t="s">
        <v>1794</v>
      </c>
      <c r="U719" s="11">
        <v>-58</v>
      </c>
      <c r="V719" s="11">
        <v>-57</v>
      </c>
      <c r="W719" s="11">
        <v>-56</v>
      </c>
      <c r="X719" s="11">
        <v>-54</v>
      </c>
      <c r="Y719" s="11">
        <v>-45</v>
      </c>
      <c r="Z719" s="11">
        <v>-61</v>
      </c>
      <c r="AA719" s="11">
        <v>10.7</v>
      </c>
      <c r="AB719" s="11">
        <v>222</v>
      </c>
      <c r="AC719" s="11">
        <v>-24.5</v>
      </c>
      <c r="AD719" s="11">
        <v>268</v>
      </c>
      <c r="AE719" s="11">
        <v>-19.600000000000001</v>
      </c>
      <c r="AF719" s="11">
        <v>282</v>
      </c>
      <c r="AG719" s="11">
        <v>-18.100000000000001</v>
      </c>
      <c r="AH719" s="11">
        <v>73</v>
      </c>
      <c r="AI719" s="11">
        <v>72</v>
      </c>
      <c r="AJ719" s="11">
        <v>56</v>
      </c>
      <c r="AK719" s="11" t="s">
        <v>48</v>
      </c>
      <c r="AL719" s="11" t="s">
        <v>44</v>
      </c>
      <c r="AM719" s="10">
        <v>1.2</v>
      </c>
      <c r="AN719" s="9">
        <v>404</v>
      </c>
      <c r="AO719" s="8" t="s">
        <v>1795</v>
      </c>
      <c r="AP719" s="8">
        <v>980</v>
      </c>
      <c r="AQ719" s="8">
        <v>21.5</v>
      </c>
      <c r="AR719" s="8">
        <v>25.7</v>
      </c>
      <c r="AS719" s="8">
        <v>23.9</v>
      </c>
      <c r="AT719" s="8">
        <v>36</v>
      </c>
      <c r="AU719" s="8">
        <v>16.7</v>
      </c>
      <c r="AV719" s="8">
        <v>66</v>
      </c>
      <c r="AW719" s="8">
        <v>49</v>
      </c>
      <c r="AX719" s="8">
        <v>207</v>
      </c>
      <c r="AY719" s="8">
        <v>36</v>
      </c>
      <c r="AZ719" s="8" t="s">
        <v>54</v>
      </c>
      <c r="BA719" s="7" t="s">
        <v>46</v>
      </c>
      <c r="BB719" s="9">
        <v>368</v>
      </c>
      <c r="BC719" s="8" t="s">
        <v>1794</v>
      </c>
      <c r="BD719" s="8">
        <v>0.2</v>
      </c>
      <c r="BE719" s="8">
        <v>0.3</v>
      </c>
      <c r="BF719" s="8">
        <v>0.9</v>
      </c>
      <c r="BG719" s="8">
        <v>2.2000000000000002</v>
      </c>
      <c r="BH719" s="8">
        <v>4.7</v>
      </c>
      <c r="BI719" s="8">
        <v>9</v>
      </c>
      <c r="BJ719" s="8">
        <v>11.7</v>
      </c>
      <c r="BK719" s="8">
        <v>10.199999999999999</v>
      </c>
      <c r="BL719" s="8">
        <v>5.9</v>
      </c>
      <c r="BM719" s="8">
        <v>2.8</v>
      </c>
      <c r="BN719" s="8">
        <v>0.7</v>
      </c>
      <c r="BO719" s="8">
        <v>0.2</v>
      </c>
      <c r="BP719" s="7">
        <v>4.0999999999999996</v>
      </c>
    </row>
    <row r="720" spans="1:68" ht="14.25" customHeight="1">
      <c r="A720" s="12">
        <v>63</v>
      </c>
      <c r="B720" s="14">
        <v>324</v>
      </c>
      <c r="C720" s="13" t="s">
        <v>30</v>
      </c>
      <c r="D720" s="13" t="s">
        <v>80</v>
      </c>
      <c r="E720" s="13" t="s">
        <v>1791</v>
      </c>
      <c r="F720" s="11">
        <v>-22.7</v>
      </c>
      <c r="G720" s="11">
        <v>-26.2</v>
      </c>
      <c r="H720" s="11">
        <v>-23.4</v>
      </c>
      <c r="I720" s="11">
        <v>-14.4</v>
      </c>
      <c r="J720" s="11">
        <v>-2</v>
      </c>
      <c r="K720" s="11">
        <v>8.6</v>
      </c>
      <c r="L720" s="11">
        <v>12.1</v>
      </c>
      <c r="M720" s="11">
        <v>9.5</v>
      </c>
      <c r="N720" s="11">
        <v>3.1</v>
      </c>
      <c r="O720" s="11">
        <v>-8.6999999999999993</v>
      </c>
      <c r="P720" s="11">
        <v>-18.7</v>
      </c>
      <c r="Q720" s="11">
        <v>-25.3</v>
      </c>
      <c r="R720" s="10">
        <v>-9</v>
      </c>
      <c r="S720" s="12">
        <v>324</v>
      </c>
      <c r="T720" s="8" t="s">
        <v>1793</v>
      </c>
      <c r="U720" s="11">
        <v>-50</v>
      </c>
      <c r="V720" s="11">
        <v>-48</v>
      </c>
      <c r="W720" s="11">
        <v>-45</v>
      </c>
      <c r="X720" s="11">
        <v>-43</v>
      </c>
      <c r="Y720" s="11">
        <v>-27</v>
      </c>
      <c r="Z720" s="11">
        <v>-53</v>
      </c>
      <c r="AA720" s="11">
        <v>9.5</v>
      </c>
      <c r="AB720" s="11">
        <v>209</v>
      </c>
      <c r="AC720" s="11">
        <v>-13.6</v>
      </c>
      <c r="AD720" s="11">
        <v>267</v>
      </c>
      <c r="AE720" s="11">
        <v>-9.6999999999999993</v>
      </c>
      <c r="AF720" s="11">
        <v>284</v>
      </c>
      <c r="AG720" s="11">
        <v>-8.6</v>
      </c>
      <c r="AH720" s="11">
        <v>84</v>
      </c>
      <c r="AI720" s="11">
        <v>83</v>
      </c>
      <c r="AJ720" s="11">
        <v>110</v>
      </c>
      <c r="AK720" s="11" t="s">
        <v>34</v>
      </c>
      <c r="AL720" s="11">
        <v>4.0999999999999996</v>
      </c>
      <c r="AM720" s="10">
        <v>3.5</v>
      </c>
      <c r="AN720" s="9">
        <v>324</v>
      </c>
      <c r="AO720" s="8" t="s">
        <v>1792</v>
      </c>
      <c r="AP720" s="8">
        <v>1005</v>
      </c>
      <c r="AQ720" s="8">
        <v>18.600000000000001</v>
      </c>
      <c r="AR720" s="8">
        <v>23.2</v>
      </c>
      <c r="AS720" s="8">
        <v>20.399999999999999</v>
      </c>
      <c r="AT720" s="8">
        <v>33</v>
      </c>
      <c r="AU720" s="8">
        <v>8.6</v>
      </c>
      <c r="AV720" s="8">
        <v>73</v>
      </c>
      <c r="AW720" s="8">
        <v>63</v>
      </c>
      <c r="AX720" s="8">
        <v>352</v>
      </c>
      <c r="AY720" s="8">
        <v>70</v>
      </c>
      <c r="AZ720" s="8" t="s">
        <v>32</v>
      </c>
      <c r="BA720" s="7">
        <v>4.2</v>
      </c>
      <c r="BB720" s="9">
        <v>292</v>
      </c>
      <c r="BC720" s="8" t="s">
        <v>1791</v>
      </c>
      <c r="BD720" s="8">
        <v>1.2</v>
      </c>
      <c r="BE720" s="8">
        <v>1.3</v>
      </c>
      <c r="BF720" s="8">
        <v>2.1</v>
      </c>
      <c r="BG720" s="8">
        <v>3.8</v>
      </c>
      <c r="BH720" s="8">
        <v>5.7</v>
      </c>
      <c r="BI720" s="8">
        <v>9.6</v>
      </c>
      <c r="BJ720" s="8">
        <v>13.5</v>
      </c>
      <c r="BK720" s="8">
        <v>11.9</v>
      </c>
      <c r="BL720" s="8">
        <v>8.3000000000000007</v>
      </c>
      <c r="BM720" s="8">
        <v>4.5999999999999996</v>
      </c>
      <c r="BN720" s="8">
        <v>2.4</v>
      </c>
      <c r="BO720" s="8">
        <v>1.5</v>
      </c>
      <c r="BP720" s="7">
        <v>5.5</v>
      </c>
    </row>
    <row r="721" spans="1:68" ht="14.25" customHeight="1">
      <c r="A721" s="12">
        <v>64</v>
      </c>
      <c r="B721" s="14">
        <v>394</v>
      </c>
      <c r="C721" s="13" t="s">
        <v>30</v>
      </c>
      <c r="D721" s="13" t="s">
        <v>259</v>
      </c>
      <c r="E721" s="13" t="s">
        <v>1788</v>
      </c>
      <c r="F721" s="11">
        <v>-22.3</v>
      </c>
      <c r="G721" s="11">
        <v>-19.8</v>
      </c>
      <c r="H721" s="11">
        <v>-13.4</v>
      </c>
      <c r="I721" s="11">
        <v>-4.3</v>
      </c>
      <c r="J721" s="11">
        <v>2.9</v>
      </c>
      <c r="K721" s="11">
        <v>11.2</v>
      </c>
      <c r="L721" s="11">
        <v>15.9</v>
      </c>
      <c r="M721" s="11">
        <v>13</v>
      </c>
      <c r="N721" s="11">
        <v>6.8</v>
      </c>
      <c r="O721" s="11">
        <v>-2.8</v>
      </c>
      <c r="P721" s="11">
        <v>-13.3</v>
      </c>
      <c r="Q721" s="11">
        <v>-19.7</v>
      </c>
      <c r="R721" s="10">
        <v>-3.8</v>
      </c>
      <c r="S721" s="12">
        <v>394</v>
      </c>
      <c r="T721" s="8" t="s">
        <v>1790</v>
      </c>
      <c r="U721" s="11">
        <v>-52</v>
      </c>
      <c r="V721" s="11">
        <v>-51</v>
      </c>
      <c r="W721" s="11">
        <v>-51</v>
      </c>
      <c r="X721" s="11">
        <v>-50</v>
      </c>
      <c r="Y721" s="11">
        <v>-37</v>
      </c>
      <c r="Z721" s="11">
        <v>-53</v>
      </c>
      <c r="AA721" s="11">
        <v>11.6</v>
      </c>
      <c r="AB721" s="11">
        <v>236</v>
      </c>
      <c r="AC721" s="11">
        <v>-18.2</v>
      </c>
      <c r="AD721" s="11">
        <v>296</v>
      </c>
      <c r="AE721" s="11">
        <v>-13.6</v>
      </c>
      <c r="AF721" s="11">
        <v>314</v>
      </c>
      <c r="AG721" s="11">
        <v>-12.3</v>
      </c>
      <c r="AH721" s="11">
        <v>77</v>
      </c>
      <c r="AI721" s="11">
        <v>76</v>
      </c>
      <c r="AJ721" s="11">
        <v>113</v>
      </c>
      <c r="AK721" s="11" t="s">
        <v>48</v>
      </c>
      <c r="AL721" s="11" t="s">
        <v>44</v>
      </c>
      <c r="AM721" s="10">
        <v>2.2000000000000002</v>
      </c>
      <c r="AN721" s="9">
        <v>394</v>
      </c>
      <c r="AO721" s="8" t="s">
        <v>1789</v>
      </c>
      <c r="AP721" s="8">
        <v>1010</v>
      </c>
      <c r="AQ721" s="8">
        <v>15</v>
      </c>
      <c r="AR721" s="8">
        <v>19</v>
      </c>
      <c r="AS721" s="8">
        <v>18.3</v>
      </c>
      <c r="AT721" s="8">
        <v>31</v>
      </c>
      <c r="AU721" s="8">
        <v>12.9</v>
      </c>
      <c r="AV721" s="8">
        <v>75</v>
      </c>
      <c r="AW721" s="8">
        <v>62</v>
      </c>
      <c r="AX721" s="8">
        <v>240</v>
      </c>
      <c r="AY721" s="8">
        <v>53</v>
      </c>
      <c r="AZ721" s="8" t="s">
        <v>54</v>
      </c>
      <c r="BA721" s="7" t="s">
        <v>46</v>
      </c>
      <c r="BB721" s="9">
        <v>358</v>
      </c>
      <c r="BC721" s="8" t="s">
        <v>1788</v>
      </c>
      <c r="BD721" s="8">
        <v>1.3</v>
      </c>
      <c r="BE721" s="8">
        <v>0.9</v>
      </c>
      <c r="BF721" s="8">
        <v>1</v>
      </c>
      <c r="BG721" s="8">
        <v>1.9</v>
      </c>
      <c r="BH721" s="8">
        <v>4.3</v>
      </c>
      <c r="BI721" s="8">
        <v>7.6</v>
      </c>
      <c r="BJ721" s="8">
        <v>10.3</v>
      </c>
      <c r="BK721" s="8">
        <v>9.5</v>
      </c>
      <c r="BL721" s="8">
        <v>6.1</v>
      </c>
      <c r="BM721" s="8">
        <v>2.9</v>
      </c>
      <c r="BN721" s="8">
        <v>1.6</v>
      </c>
      <c r="BO721" s="8">
        <v>1</v>
      </c>
      <c r="BP721" s="7">
        <v>4</v>
      </c>
    </row>
    <row r="722" spans="1:68" ht="14.25" customHeight="1">
      <c r="A722" s="12">
        <v>65</v>
      </c>
      <c r="B722" s="14">
        <v>5</v>
      </c>
      <c r="C722" s="13" t="s">
        <v>30</v>
      </c>
      <c r="D722" s="13" t="s">
        <v>438</v>
      </c>
      <c r="E722" s="13" t="s">
        <v>1785</v>
      </c>
      <c r="F722" s="11">
        <v>-17.7</v>
      </c>
      <c r="G722" s="11">
        <v>-16.5</v>
      </c>
      <c r="H722" s="11">
        <v>-9.1999999999999993</v>
      </c>
      <c r="I722" s="11">
        <v>2.2999999999999998</v>
      </c>
      <c r="J722" s="11">
        <v>11.3</v>
      </c>
      <c r="K722" s="11">
        <v>17.2</v>
      </c>
      <c r="L722" s="11">
        <v>19.2</v>
      </c>
      <c r="M722" s="11">
        <v>16.3</v>
      </c>
      <c r="N722" s="11">
        <v>10.5</v>
      </c>
      <c r="O722" s="11">
        <v>2.6</v>
      </c>
      <c r="P722" s="11">
        <v>-8.1</v>
      </c>
      <c r="Q722" s="11">
        <v>-15.1</v>
      </c>
      <c r="R722" s="10">
        <v>1.1000000000000001</v>
      </c>
      <c r="S722" s="12">
        <v>5</v>
      </c>
      <c r="T722" s="8" t="s">
        <v>1787</v>
      </c>
      <c r="U722" s="11">
        <v>-45</v>
      </c>
      <c r="V722" s="11">
        <v>-43</v>
      </c>
      <c r="W722" s="11">
        <v>-41</v>
      </c>
      <c r="X722" s="11">
        <v>-38</v>
      </c>
      <c r="Y722" s="11">
        <v>-23</v>
      </c>
      <c r="Z722" s="11">
        <v>-51</v>
      </c>
      <c r="AA722" s="11">
        <v>11</v>
      </c>
      <c r="AB722" s="11">
        <v>168</v>
      </c>
      <c r="AC722" s="11">
        <v>-11.6</v>
      </c>
      <c r="AD722" s="11">
        <v>222</v>
      </c>
      <c r="AE722" s="11">
        <v>-7.8</v>
      </c>
      <c r="AF722" s="11">
        <v>236</v>
      </c>
      <c r="AG722" s="11">
        <v>-6.7</v>
      </c>
      <c r="AH722" s="11">
        <v>81</v>
      </c>
      <c r="AI722" s="11">
        <v>79</v>
      </c>
      <c r="AJ722" s="11">
        <v>165</v>
      </c>
      <c r="AK722" s="11" t="s">
        <v>39</v>
      </c>
      <c r="AL722" s="11">
        <v>4.7</v>
      </c>
      <c r="AM722" s="10">
        <v>3.7</v>
      </c>
      <c r="AN722" s="9">
        <v>5</v>
      </c>
      <c r="AO722" s="8" t="s">
        <v>1786</v>
      </c>
      <c r="AP722" s="8">
        <v>985</v>
      </c>
      <c r="AQ722" s="8">
        <v>23.4</v>
      </c>
      <c r="AR722" s="8">
        <v>27.6</v>
      </c>
      <c r="AS722" s="8">
        <v>25.9</v>
      </c>
      <c r="AT722" s="8">
        <v>39</v>
      </c>
      <c r="AU722" s="8">
        <v>13.3</v>
      </c>
      <c r="AV722" s="8">
        <v>74</v>
      </c>
      <c r="AW722" s="8">
        <v>55</v>
      </c>
      <c r="AX722" s="8">
        <v>404</v>
      </c>
      <c r="AY722" s="8">
        <v>59</v>
      </c>
      <c r="AZ722" s="8" t="s">
        <v>82</v>
      </c>
      <c r="BA722" s="7">
        <v>3.1</v>
      </c>
      <c r="BB722" s="9">
        <v>4</v>
      </c>
      <c r="BC722" s="8" t="s">
        <v>1785</v>
      </c>
      <c r="BD722" s="8">
        <v>1.6</v>
      </c>
      <c r="BE722" s="8">
        <v>1.7</v>
      </c>
      <c r="BF722" s="8">
        <v>2.9</v>
      </c>
      <c r="BG722" s="8">
        <v>5.5</v>
      </c>
      <c r="BH722" s="8">
        <v>8.1</v>
      </c>
      <c r="BI722" s="8">
        <v>13</v>
      </c>
      <c r="BJ722" s="8">
        <v>15.9</v>
      </c>
      <c r="BK722" s="8">
        <v>13.7</v>
      </c>
      <c r="BL722" s="8">
        <v>9.3000000000000007</v>
      </c>
      <c r="BM722" s="8">
        <v>5.7</v>
      </c>
      <c r="BN722" s="8">
        <v>3.2</v>
      </c>
      <c r="BO722" s="8">
        <v>2</v>
      </c>
      <c r="BP722" s="7">
        <v>6.9</v>
      </c>
    </row>
    <row r="723" spans="1:68" ht="14.25" customHeight="1">
      <c r="A723" s="12">
        <v>66</v>
      </c>
      <c r="B723" s="14">
        <v>347</v>
      </c>
      <c r="C723" s="13" t="s">
        <v>30</v>
      </c>
      <c r="D723" s="13" t="s">
        <v>86</v>
      </c>
      <c r="E723" s="13" t="s">
        <v>1782</v>
      </c>
      <c r="F723" s="11">
        <v>-22.4</v>
      </c>
      <c r="G723" s="11">
        <v>-17.399999999999999</v>
      </c>
      <c r="H723" s="11">
        <v>-8.1</v>
      </c>
      <c r="I723" s="11">
        <v>4.0999999999999996</v>
      </c>
      <c r="J723" s="11">
        <v>11.7</v>
      </c>
      <c r="K723" s="11">
        <v>17.399999999999999</v>
      </c>
      <c r="L723" s="11">
        <v>21</v>
      </c>
      <c r="M723" s="11">
        <v>19.899999999999999</v>
      </c>
      <c r="N723" s="11">
        <v>13.3</v>
      </c>
      <c r="O723" s="11">
        <v>4.5</v>
      </c>
      <c r="P723" s="11">
        <v>-7.6</v>
      </c>
      <c r="Q723" s="11">
        <v>-18.3</v>
      </c>
      <c r="R723" s="10">
        <v>1.5</v>
      </c>
      <c r="S723" s="12">
        <v>347</v>
      </c>
      <c r="T723" s="8" t="s">
        <v>1784</v>
      </c>
      <c r="U723" s="11">
        <v>-38</v>
      </c>
      <c r="V723" s="11">
        <v>-34</v>
      </c>
      <c r="W723" s="11">
        <v>-35</v>
      </c>
      <c r="X723" s="11">
        <v>-32</v>
      </c>
      <c r="Y723" s="11">
        <v>-27</v>
      </c>
      <c r="Z723" s="11">
        <v>-46</v>
      </c>
      <c r="AA723" s="11">
        <v>12.8</v>
      </c>
      <c r="AB723" s="11">
        <v>159</v>
      </c>
      <c r="AC723" s="11">
        <v>-13.3</v>
      </c>
      <c r="AD723" s="11">
        <v>208</v>
      </c>
      <c r="AE723" s="11">
        <v>-9.1</v>
      </c>
      <c r="AF723" s="11">
        <v>223</v>
      </c>
      <c r="AG723" s="11">
        <v>-7.8</v>
      </c>
      <c r="AH723" s="11">
        <v>76</v>
      </c>
      <c r="AI723" s="11">
        <v>66</v>
      </c>
      <c r="AJ723" s="11">
        <v>96</v>
      </c>
      <c r="AK723" s="11" t="s">
        <v>27</v>
      </c>
      <c r="AL723" s="11">
        <v>3.2</v>
      </c>
      <c r="AM723" s="10">
        <v>2</v>
      </c>
      <c r="AN723" s="9">
        <v>347</v>
      </c>
      <c r="AO723" s="8" t="s">
        <v>1783</v>
      </c>
      <c r="AP723" s="8">
        <v>1000</v>
      </c>
      <c r="AQ723" s="8">
        <v>24.8</v>
      </c>
      <c r="AR723" s="8">
        <v>28.8</v>
      </c>
      <c r="AS723" s="8">
        <v>27.2</v>
      </c>
      <c r="AT723" s="8">
        <v>38</v>
      </c>
      <c r="AU723" s="8">
        <v>11</v>
      </c>
      <c r="AV723" s="8">
        <v>80</v>
      </c>
      <c r="AW723" s="8">
        <v>66</v>
      </c>
      <c r="AX723" s="8">
        <v>597</v>
      </c>
      <c r="AY723" s="8">
        <v>130</v>
      </c>
      <c r="AZ723" s="8" t="s">
        <v>25</v>
      </c>
      <c r="BA723" s="7">
        <v>0</v>
      </c>
      <c r="BB723" s="9">
        <v>312</v>
      </c>
      <c r="BC723" s="8" t="s">
        <v>1782</v>
      </c>
      <c r="BD723" s="8">
        <v>0.9</v>
      </c>
      <c r="BE723" s="8">
        <v>1.3</v>
      </c>
      <c r="BF723" s="8">
        <v>2.7</v>
      </c>
      <c r="BG723" s="8">
        <v>5.0999999999999996</v>
      </c>
      <c r="BH723" s="8">
        <v>8.6</v>
      </c>
      <c r="BI723" s="8">
        <v>14.7</v>
      </c>
      <c r="BJ723" s="8">
        <v>20</v>
      </c>
      <c r="BK723" s="8">
        <v>19.100000000000001</v>
      </c>
      <c r="BL723" s="8">
        <v>12</v>
      </c>
      <c r="BM723" s="8">
        <v>6</v>
      </c>
      <c r="BN723" s="8">
        <v>2.8</v>
      </c>
      <c r="BO723" s="8">
        <v>1.3</v>
      </c>
      <c r="BP723" s="7">
        <v>7.9</v>
      </c>
    </row>
    <row r="724" spans="1:68" ht="14.25" customHeight="1">
      <c r="A724" s="12">
        <v>67</v>
      </c>
      <c r="B724" s="14">
        <v>348</v>
      </c>
      <c r="C724" s="13" t="s">
        <v>30</v>
      </c>
      <c r="D724" s="13" t="s">
        <v>86</v>
      </c>
      <c r="E724" s="13" t="s">
        <v>1779</v>
      </c>
      <c r="F724" s="11">
        <v>-22</v>
      </c>
      <c r="G724" s="11">
        <v>-16.600000000000001</v>
      </c>
      <c r="H724" s="11">
        <v>-8.1999999999999993</v>
      </c>
      <c r="I724" s="11">
        <v>2.7</v>
      </c>
      <c r="J724" s="11">
        <v>10.199999999999999</v>
      </c>
      <c r="K724" s="11">
        <v>16.5</v>
      </c>
      <c r="L724" s="11">
        <v>20.100000000000001</v>
      </c>
      <c r="M724" s="11">
        <v>18.5</v>
      </c>
      <c r="N724" s="11">
        <v>12</v>
      </c>
      <c r="O724" s="11">
        <v>2.6</v>
      </c>
      <c r="P724" s="11">
        <v>-10.1</v>
      </c>
      <c r="Q724" s="11">
        <v>-19.5</v>
      </c>
      <c r="R724" s="10">
        <v>0.5</v>
      </c>
      <c r="S724" s="12">
        <v>348</v>
      </c>
      <c r="T724" s="8" t="s">
        <v>1781</v>
      </c>
      <c r="U724" s="11">
        <v>-37</v>
      </c>
      <c r="V724" s="11">
        <v>-35</v>
      </c>
      <c r="W724" s="11">
        <v>-34</v>
      </c>
      <c r="X724" s="11">
        <v>-31</v>
      </c>
      <c r="Y724" s="11">
        <v>-27</v>
      </c>
      <c r="Z724" s="11">
        <v>-43</v>
      </c>
      <c r="AA724" s="11">
        <v>11</v>
      </c>
      <c r="AB724" s="11">
        <v>166</v>
      </c>
      <c r="AC724" s="11">
        <v>-13.4</v>
      </c>
      <c r="AD724" s="11">
        <v>220</v>
      </c>
      <c r="AE724" s="11">
        <v>-9.1</v>
      </c>
      <c r="AF724" s="11">
        <v>234</v>
      </c>
      <c r="AG724" s="11">
        <v>-7.9</v>
      </c>
      <c r="AH724" s="11">
        <v>70</v>
      </c>
      <c r="AI724" s="11">
        <v>64</v>
      </c>
      <c r="AJ724" s="11">
        <v>85</v>
      </c>
      <c r="AK724" s="11" t="s">
        <v>48</v>
      </c>
      <c r="AL724" s="11" t="s">
        <v>44</v>
      </c>
      <c r="AM724" s="10" t="s">
        <v>44</v>
      </c>
      <c r="AN724" s="9">
        <v>348</v>
      </c>
      <c r="AO724" s="8" t="s">
        <v>1780</v>
      </c>
      <c r="AP724" s="8">
        <v>990</v>
      </c>
      <c r="AQ724" s="8">
        <v>23.7</v>
      </c>
      <c r="AR724" s="8">
        <v>27.8</v>
      </c>
      <c r="AS724" s="8">
        <v>26.1</v>
      </c>
      <c r="AT724" s="8">
        <v>40</v>
      </c>
      <c r="AU724" s="8">
        <v>11.1</v>
      </c>
      <c r="AV724" s="8">
        <v>82</v>
      </c>
      <c r="AW724" s="8">
        <v>66</v>
      </c>
      <c r="AX724" s="8">
        <v>733</v>
      </c>
      <c r="AY724" s="8">
        <v>153</v>
      </c>
      <c r="AZ724" s="8" t="s">
        <v>63</v>
      </c>
      <c r="BA724" s="7" t="s">
        <v>46</v>
      </c>
      <c r="BB724" s="9">
        <v>313</v>
      </c>
      <c r="BC724" s="8" t="s">
        <v>1779</v>
      </c>
      <c r="BD724" s="8">
        <v>0.8</v>
      </c>
      <c r="BE724" s="8">
        <v>1.1000000000000001</v>
      </c>
      <c r="BF724" s="8">
        <v>2.2000000000000002</v>
      </c>
      <c r="BG724" s="8">
        <v>4.4000000000000004</v>
      </c>
      <c r="BH724" s="8">
        <v>7.7</v>
      </c>
      <c r="BI724" s="8">
        <v>13.8</v>
      </c>
      <c r="BJ724" s="8">
        <v>18.899999999999999</v>
      </c>
      <c r="BK724" s="8">
        <v>17.3</v>
      </c>
      <c r="BL724" s="8">
        <v>10.7</v>
      </c>
      <c r="BM724" s="8">
        <v>4.9000000000000004</v>
      </c>
      <c r="BN724" s="8">
        <v>2.1</v>
      </c>
      <c r="BO724" s="8">
        <v>1</v>
      </c>
      <c r="BP724" s="7">
        <v>7.1</v>
      </c>
    </row>
    <row r="725" spans="1:68" ht="14.25" customHeight="1">
      <c r="A725" s="12">
        <v>68</v>
      </c>
      <c r="B725" s="14">
        <v>349</v>
      </c>
      <c r="C725" s="13" t="s">
        <v>30</v>
      </c>
      <c r="D725" s="13" t="s">
        <v>86</v>
      </c>
      <c r="E725" s="13" t="s">
        <v>1776</v>
      </c>
      <c r="F725" s="11">
        <v>-22.6</v>
      </c>
      <c r="G725" s="11">
        <v>-17.5</v>
      </c>
      <c r="H725" s="11">
        <v>-9</v>
      </c>
      <c r="I725" s="11">
        <v>3</v>
      </c>
      <c r="J725" s="11">
        <v>10.7</v>
      </c>
      <c r="K725" s="11">
        <v>16.7</v>
      </c>
      <c r="L725" s="11">
        <v>20.3</v>
      </c>
      <c r="M725" s="11">
        <v>19</v>
      </c>
      <c r="N725" s="11">
        <v>12.4</v>
      </c>
      <c r="O725" s="11">
        <v>3</v>
      </c>
      <c r="P725" s="11">
        <v>-9.8000000000000007</v>
      </c>
      <c r="Q725" s="11">
        <v>-19.600000000000001</v>
      </c>
      <c r="R725" s="10">
        <v>0.6</v>
      </c>
      <c r="S725" s="12">
        <v>349</v>
      </c>
      <c r="T725" s="8" t="s">
        <v>1778</v>
      </c>
      <c r="U725" s="11">
        <v>-38</v>
      </c>
      <c r="V725" s="11">
        <v>-34</v>
      </c>
      <c r="W725" s="11">
        <v>-35</v>
      </c>
      <c r="X725" s="11">
        <v>-32</v>
      </c>
      <c r="Y725" s="11">
        <v>-28</v>
      </c>
      <c r="Z725" s="11">
        <v>-43</v>
      </c>
      <c r="AA725" s="11">
        <v>14.9</v>
      </c>
      <c r="AB725" s="11">
        <v>169</v>
      </c>
      <c r="AC725" s="11">
        <v>-14.8</v>
      </c>
      <c r="AD725" s="11">
        <v>219</v>
      </c>
      <c r="AE725" s="11">
        <v>-10.4</v>
      </c>
      <c r="AF725" s="11">
        <v>234</v>
      </c>
      <c r="AG725" s="11">
        <v>-9.1999999999999993</v>
      </c>
      <c r="AH725" s="11">
        <v>74</v>
      </c>
      <c r="AI725" s="11">
        <v>65</v>
      </c>
      <c r="AJ725" s="11">
        <v>84</v>
      </c>
      <c r="AK725" s="11" t="s">
        <v>48</v>
      </c>
      <c r="AL725" s="11" t="s">
        <v>44</v>
      </c>
      <c r="AM725" s="10" t="s">
        <v>44</v>
      </c>
      <c r="AN725" s="9">
        <v>349</v>
      </c>
      <c r="AO725" s="8" t="s">
        <v>1777</v>
      </c>
      <c r="AP725" s="8">
        <v>995</v>
      </c>
      <c r="AQ725" s="8">
        <v>23.6</v>
      </c>
      <c r="AR725" s="8">
        <v>27.7</v>
      </c>
      <c r="AS725" s="8">
        <v>26</v>
      </c>
      <c r="AT725" s="8">
        <v>39</v>
      </c>
      <c r="AU725" s="8">
        <v>11.2</v>
      </c>
      <c r="AV725" s="8">
        <v>84</v>
      </c>
      <c r="AW725" s="8">
        <v>69</v>
      </c>
      <c r="AX725" s="8">
        <v>746</v>
      </c>
      <c r="AY725" s="8" t="s">
        <v>64</v>
      </c>
      <c r="AZ725" s="8" t="s">
        <v>37</v>
      </c>
      <c r="BA725" s="7" t="s">
        <v>46</v>
      </c>
      <c r="BB725" s="9">
        <v>314</v>
      </c>
      <c r="BC725" s="8" t="s">
        <v>1776</v>
      </c>
      <c r="BD725" s="8">
        <v>0.7</v>
      </c>
      <c r="BE725" s="8">
        <v>1</v>
      </c>
      <c r="BF725" s="8">
        <v>2.2999999999999998</v>
      </c>
      <c r="BG725" s="8">
        <v>4.9000000000000004</v>
      </c>
      <c r="BH725" s="8">
        <v>8.4</v>
      </c>
      <c r="BI725" s="8">
        <v>14.8</v>
      </c>
      <c r="BJ725" s="8">
        <v>20.100000000000001</v>
      </c>
      <c r="BK725" s="8">
        <v>18.899999999999999</v>
      </c>
      <c r="BL725" s="8">
        <v>11.7</v>
      </c>
      <c r="BM725" s="8">
        <v>5.3</v>
      </c>
      <c r="BN725" s="8">
        <v>2.2000000000000002</v>
      </c>
      <c r="BO725" s="8">
        <v>1</v>
      </c>
      <c r="BP725" s="7">
        <v>7.6</v>
      </c>
    </row>
    <row r="726" spans="1:68" ht="14.25" customHeight="1">
      <c r="A726" s="12">
        <v>69</v>
      </c>
      <c r="B726" s="14">
        <v>251</v>
      </c>
      <c r="C726" s="13" t="s">
        <v>30</v>
      </c>
      <c r="D726" s="13" t="s">
        <v>189</v>
      </c>
      <c r="E726" s="13" t="s">
        <v>1773</v>
      </c>
      <c r="F726" s="11">
        <v>-17.5</v>
      </c>
      <c r="G726" s="11">
        <v>-15.4</v>
      </c>
      <c r="H726" s="11">
        <v>-8.9</v>
      </c>
      <c r="I726" s="11">
        <v>0.5</v>
      </c>
      <c r="J726" s="11">
        <v>6.9</v>
      </c>
      <c r="K726" s="11">
        <v>12.7</v>
      </c>
      <c r="L726" s="11">
        <v>15.2</v>
      </c>
      <c r="M726" s="11">
        <v>12.7</v>
      </c>
      <c r="N726" s="11">
        <v>6.9</v>
      </c>
      <c r="O726" s="11">
        <v>-1.3</v>
      </c>
      <c r="P726" s="11">
        <v>-9.1999999999999993</v>
      </c>
      <c r="Q726" s="11">
        <v>-15.4</v>
      </c>
      <c r="R726" s="10">
        <v>-1.1000000000000001</v>
      </c>
      <c r="S726" s="12">
        <v>251</v>
      </c>
      <c r="T726" s="8" t="s">
        <v>1775</v>
      </c>
      <c r="U726" s="11">
        <v>-44</v>
      </c>
      <c r="V726" s="11">
        <v>-40</v>
      </c>
      <c r="W726" s="11">
        <v>-39</v>
      </c>
      <c r="X726" s="11">
        <v>-36</v>
      </c>
      <c r="Y726" s="11">
        <v>-23</v>
      </c>
      <c r="Z726" s="11">
        <v>-53</v>
      </c>
      <c r="AA726" s="11">
        <v>7.2</v>
      </c>
      <c r="AB726" s="11">
        <v>185</v>
      </c>
      <c r="AC726" s="11">
        <v>-10.9</v>
      </c>
      <c r="AD726" s="11">
        <v>254</v>
      </c>
      <c r="AE726" s="11">
        <v>-6.8</v>
      </c>
      <c r="AF726" s="11">
        <v>275</v>
      </c>
      <c r="AG726" s="11">
        <v>-5.6</v>
      </c>
      <c r="AH726" s="11">
        <v>86</v>
      </c>
      <c r="AI726" s="11">
        <v>83</v>
      </c>
      <c r="AJ726" s="11">
        <v>267</v>
      </c>
      <c r="AK726" s="11" t="s">
        <v>39</v>
      </c>
      <c r="AL726" s="11">
        <v>3.5</v>
      </c>
      <c r="AM726" s="10">
        <v>3</v>
      </c>
      <c r="AN726" s="9">
        <v>251</v>
      </c>
      <c r="AO726" s="8" t="s">
        <v>1774</v>
      </c>
      <c r="AP726" s="8">
        <v>955</v>
      </c>
      <c r="AQ726" s="8">
        <v>19</v>
      </c>
      <c r="AR726" s="8">
        <v>23.2</v>
      </c>
      <c r="AS726" s="8">
        <v>20.9</v>
      </c>
      <c r="AT726" s="8">
        <v>35</v>
      </c>
      <c r="AU726" s="8">
        <v>10.7</v>
      </c>
      <c r="AV726" s="8">
        <v>73</v>
      </c>
      <c r="AW726" s="8">
        <v>62</v>
      </c>
      <c r="AX726" s="8">
        <v>549</v>
      </c>
      <c r="AY726" s="8">
        <v>82</v>
      </c>
      <c r="AZ726" s="8" t="s">
        <v>43</v>
      </c>
      <c r="BA726" s="7">
        <v>0</v>
      </c>
      <c r="BB726" s="9">
        <v>222</v>
      </c>
      <c r="BC726" s="8" t="s">
        <v>1773</v>
      </c>
      <c r="BD726" s="8">
        <v>1.7</v>
      </c>
      <c r="BE726" s="8">
        <v>1.7</v>
      </c>
      <c r="BF726" s="8">
        <v>2.6</v>
      </c>
      <c r="BG726" s="8">
        <v>4.5999999999999996</v>
      </c>
      <c r="BH726" s="8">
        <v>6.6</v>
      </c>
      <c r="BI726" s="8">
        <v>10.1</v>
      </c>
      <c r="BJ726" s="8">
        <v>12.7</v>
      </c>
      <c r="BK726" s="8">
        <v>11.6</v>
      </c>
      <c r="BL726" s="8">
        <v>8.4</v>
      </c>
      <c r="BM726" s="8">
        <v>5</v>
      </c>
      <c r="BN726" s="8">
        <v>3.1</v>
      </c>
      <c r="BO726" s="8">
        <v>2.1</v>
      </c>
      <c r="BP726" s="7">
        <v>5.9</v>
      </c>
    </row>
    <row r="727" spans="1:68" ht="14.25" customHeight="1">
      <c r="A727" s="12">
        <v>70</v>
      </c>
      <c r="B727" s="14">
        <v>548</v>
      </c>
      <c r="C727" s="13" t="s">
        <v>158</v>
      </c>
      <c r="D727" s="13" t="s">
        <v>1772</v>
      </c>
      <c r="E727" s="13" t="s">
        <v>1771</v>
      </c>
      <c r="F727" s="11">
        <v>-5.6</v>
      </c>
      <c r="G727" s="11">
        <v>-3.2</v>
      </c>
      <c r="H727" s="11">
        <v>3.8</v>
      </c>
      <c r="I727" s="11">
        <v>11.4</v>
      </c>
      <c r="J727" s="11">
        <v>16.899999999999999</v>
      </c>
      <c r="K727" s="11">
        <v>21.3</v>
      </c>
      <c r="L727" s="11">
        <v>24.1</v>
      </c>
      <c r="M727" s="11">
        <v>22.6</v>
      </c>
      <c r="N727" s="11">
        <v>17.3</v>
      </c>
      <c r="O727" s="11">
        <v>10.1</v>
      </c>
      <c r="P727" s="11">
        <v>2.2000000000000002</v>
      </c>
      <c r="Q727" s="11">
        <v>-2.9</v>
      </c>
      <c r="R727" s="10">
        <v>9.8000000000000007</v>
      </c>
      <c r="S727" s="12">
        <v>548</v>
      </c>
      <c r="T727" s="8" t="s">
        <v>1769</v>
      </c>
      <c r="U727" s="11">
        <v>-28</v>
      </c>
      <c r="V727" s="11">
        <v>-27</v>
      </c>
      <c r="W727" s="11">
        <v>-24</v>
      </c>
      <c r="X727" s="11">
        <v>-23</v>
      </c>
      <c r="Y727" s="11" t="s">
        <v>49</v>
      </c>
      <c r="Z727" s="11" t="s">
        <v>44</v>
      </c>
      <c r="AA727" s="11">
        <v>10.6</v>
      </c>
      <c r="AB727" s="11" t="s">
        <v>84</v>
      </c>
      <c r="AC727" s="11" t="s">
        <v>45</v>
      </c>
      <c r="AD727" s="11" t="s">
        <v>84</v>
      </c>
      <c r="AE727" s="11" t="s">
        <v>44</v>
      </c>
      <c r="AF727" s="11" t="s">
        <v>114</v>
      </c>
      <c r="AG727" s="11" t="s">
        <v>44</v>
      </c>
      <c r="AH727" s="11">
        <v>71</v>
      </c>
      <c r="AI727" s="11">
        <v>63</v>
      </c>
      <c r="AJ727" s="11">
        <v>184</v>
      </c>
      <c r="AK727" s="11" t="s">
        <v>48</v>
      </c>
      <c r="AL727" s="11">
        <v>2.4</v>
      </c>
      <c r="AM727" s="10" t="s">
        <v>44</v>
      </c>
      <c r="AN727" s="9">
        <v>548</v>
      </c>
      <c r="AO727" s="8" t="s">
        <v>1770</v>
      </c>
      <c r="AP727" s="8" t="s">
        <v>64</v>
      </c>
      <c r="AQ727" s="8" t="s">
        <v>45</v>
      </c>
      <c r="AR727" s="8" t="s">
        <v>44</v>
      </c>
      <c r="AS727" s="8" t="s">
        <v>45</v>
      </c>
      <c r="AT727" s="8">
        <v>42</v>
      </c>
      <c r="AU727" s="8">
        <v>14.2</v>
      </c>
      <c r="AV727" s="8">
        <v>44</v>
      </c>
      <c r="AW727" s="8">
        <v>31</v>
      </c>
      <c r="AX727" s="8">
        <v>287</v>
      </c>
      <c r="AY727" s="8">
        <v>70</v>
      </c>
      <c r="AZ727" s="8" t="s">
        <v>43</v>
      </c>
      <c r="BA727" s="7">
        <v>1.7</v>
      </c>
      <c r="BB727" s="9"/>
      <c r="BC727" s="8" t="s">
        <v>1769</v>
      </c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7"/>
    </row>
    <row r="728" spans="1:68" ht="14.25" customHeight="1">
      <c r="A728" s="12">
        <v>71</v>
      </c>
      <c r="B728" s="14">
        <v>16</v>
      </c>
      <c r="C728" s="13" t="s">
        <v>30</v>
      </c>
      <c r="D728" s="13" t="s">
        <v>99</v>
      </c>
      <c r="E728" s="13" t="s">
        <v>1766</v>
      </c>
      <c r="F728" s="11">
        <v>-24.1</v>
      </c>
      <c r="G728" s="11">
        <v>-18.7</v>
      </c>
      <c r="H728" s="11">
        <v>-9.1</v>
      </c>
      <c r="I728" s="11">
        <v>2.7</v>
      </c>
      <c r="J728" s="11">
        <v>11.1</v>
      </c>
      <c r="K728" s="11">
        <v>17.899999999999999</v>
      </c>
      <c r="L728" s="11">
        <v>21.4</v>
      </c>
      <c r="M728" s="11">
        <v>19.100000000000001</v>
      </c>
      <c r="N728" s="11">
        <v>12.2</v>
      </c>
      <c r="O728" s="11">
        <v>2.2000000000000002</v>
      </c>
      <c r="P728" s="11">
        <v>-11.5</v>
      </c>
      <c r="Q728" s="11">
        <v>-21.8</v>
      </c>
      <c r="R728" s="10">
        <v>0.1</v>
      </c>
      <c r="S728" s="12">
        <v>16</v>
      </c>
      <c r="T728" s="8" t="s">
        <v>1768</v>
      </c>
      <c r="U728" s="11">
        <v>-38</v>
      </c>
      <c r="V728" s="11">
        <v>-37</v>
      </c>
      <c r="W728" s="11">
        <v>-36</v>
      </c>
      <c r="X728" s="11">
        <v>-34</v>
      </c>
      <c r="Y728" s="11">
        <v>-29</v>
      </c>
      <c r="Z728" s="11">
        <v>-45</v>
      </c>
      <c r="AA728" s="11">
        <v>10.5</v>
      </c>
      <c r="AB728" s="11">
        <v>170</v>
      </c>
      <c r="AC728" s="11">
        <v>-14.8</v>
      </c>
      <c r="AD728" s="11">
        <v>218</v>
      </c>
      <c r="AE728" s="11">
        <v>-10.6</v>
      </c>
      <c r="AF728" s="11">
        <v>232</v>
      </c>
      <c r="AG728" s="11">
        <v>-9.4</v>
      </c>
      <c r="AH728" s="11">
        <v>72</v>
      </c>
      <c r="AI728" s="11">
        <v>64</v>
      </c>
      <c r="AJ728" s="11">
        <v>47</v>
      </c>
      <c r="AK728" s="11" t="s">
        <v>75</v>
      </c>
      <c r="AL728" s="11">
        <v>3.4</v>
      </c>
      <c r="AM728" s="10">
        <v>2.9</v>
      </c>
      <c r="AN728" s="9">
        <v>16</v>
      </c>
      <c r="AO728" s="8" t="s">
        <v>1767</v>
      </c>
      <c r="AP728" s="8">
        <v>990</v>
      </c>
      <c r="AQ728" s="8">
        <v>24.7</v>
      </c>
      <c r="AR728" s="8">
        <v>28.1</v>
      </c>
      <c r="AS728" s="8">
        <v>27</v>
      </c>
      <c r="AT728" s="8">
        <v>41</v>
      </c>
      <c r="AU728" s="8">
        <v>10.6</v>
      </c>
      <c r="AV728" s="8">
        <v>77</v>
      </c>
      <c r="AW728" s="8">
        <v>63</v>
      </c>
      <c r="AX728" s="8">
        <v>528</v>
      </c>
      <c r="AY728" s="8">
        <v>122</v>
      </c>
      <c r="AZ728" s="8" t="s">
        <v>151</v>
      </c>
      <c r="BA728" s="7">
        <v>0</v>
      </c>
      <c r="BB728" s="9">
        <v>14</v>
      </c>
      <c r="BC728" s="8" t="s">
        <v>1766</v>
      </c>
      <c r="BD728" s="8">
        <v>0.7</v>
      </c>
      <c r="BE728" s="8">
        <v>1</v>
      </c>
      <c r="BF728" s="8">
        <v>2.2000000000000002</v>
      </c>
      <c r="BG728" s="8">
        <v>4.2</v>
      </c>
      <c r="BH728" s="8">
        <v>7.3</v>
      </c>
      <c r="BI728" s="8">
        <v>14.1</v>
      </c>
      <c r="BJ728" s="8">
        <v>19.2</v>
      </c>
      <c r="BK728" s="8">
        <v>16.8</v>
      </c>
      <c r="BL728" s="8">
        <v>10.199999999999999</v>
      </c>
      <c r="BM728" s="8">
        <v>4.7</v>
      </c>
      <c r="BN728" s="8">
        <v>1.9</v>
      </c>
      <c r="BO728" s="8">
        <v>0.9</v>
      </c>
      <c r="BP728" s="7">
        <v>6</v>
      </c>
    </row>
    <row r="729" spans="1:68" ht="14.25" customHeight="1">
      <c r="A729" s="12">
        <v>72</v>
      </c>
      <c r="B729" s="14">
        <v>258</v>
      </c>
      <c r="C729" s="13" t="s">
        <v>30</v>
      </c>
      <c r="D729" s="13" t="s">
        <v>154</v>
      </c>
      <c r="E729" s="13" t="s">
        <v>1763</v>
      </c>
      <c r="F729" s="11">
        <v>-13.3</v>
      </c>
      <c r="G729" s="11">
        <v>-10.1</v>
      </c>
      <c r="H729" s="11">
        <v>-3.1</v>
      </c>
      <c r="I729" s="11">
        <v>4.2</v>
      </c>
      <c r="J729" s="11">
        <v>9.5</v>
      </c>
      <c r="K729" s="11">
        <v>13.2</v>
      </c>
      <c r="L729" s="11">
        <v>17.7</v>
      </c>
      <c r="M729" s="11">
        <v>19.2</v>
      </c>
      <c r="N729" s="11">
        <v>14.1</v>
      </c>
      <c r="O729" s="11">
        <v>6.9</v>
      </c>
      <c r="P729" s="11">
        <v>-2.6</v>
      </c>
      <c r="Q729" s="11">
        <v>-10.8</v>
      </c>
      <c r="R729" s="10">
        <v>3.7</v>
      </c>
      <c r="S729" s="12">
        <v>258</v>
      </c>
      <c r="T729" s="8" t="s">
        <v>1765</v>
      </c>
      <c r="U729" s="11">
        <v>-26</v>
      </c>
      <c r="V729" s="11">
        <v>-25</v>
      </c>
      <c r="W729" s="11">
        <v>-23</v>
      </c>
      <c r="X729" s="11">
        <v>-21</v>
      </c>
      <c r="Y729" s="11">
        <v>-18</v>
      </c>
      <c r="Z729" s="11">
        <v>-30</v>
      </c>
      <c r="AA729" s="11">
        <v>9.3000000000000007</v>
      </c>
      <c r="AB729" s="11">
        <v>142</v>
      </c>
      <c r="AC729" s="11">
        <v>-8.1</v>
      </c>
      <c r="AD729" s="11">
        <v>208</v>
      </c>
      <c r="AE729" s="11">
        <v>-4.2</v>
      </c>
      <c r="AF729" s="11">
        <v>229</v>
      </c>
      <c r="AG729" s="11">
        <v>-2.9</v>
      </c>
      <c r="AH729" s="11">
        <v>52</v>
      </c>
      <c r="AI729" s="11">
        <v>46</v>
      </c>
      <c r="AJ729" s="11">
        <v>101</v>
      </c>
      <c r="AK729" s="11" t="s">
        <v>75</v>
      </c>
      <c r="AL729" s="11" t="s">
        <v>44</v>
      </c>
      <c r="AM729" s="10">
        <v>4.0999999999999996</v>
      </c>
      <c r="AN729" s="9">
        <v>258</v>
      </c>
      <c r="AO729" s="8" t="s">
        <v>1764</v>
      </c>
      <c r="AP729" s="8">
        <v>1005</v>
      </c>
      <c r="AQ729" s="8">
        <v>22.7</v>
      </c>
      <c r="AR729" s="8">
        <v>26.8</v>
      </c>
      <c r="AS729" s="8">
        <v>25.1</v>
      </c>
      <c r="AT729" s="8">
        <v>38</v>
      </c>
      <c r="AU729" s="8">
        <v>10</v>
      </c>
      <c r="AV729" s="8">
        <v>84</v>
      </c>
      <c r="AW729" s="8">
        <v>73</v>
      </c>
      <c r="AX729" s="8">
        <v>594</v>
      </c>
      <c r="AY729" s="8">
        <v>145</v>
      </c>
      <c r="AZ729" s="8" t="s">
        <v>63</v>
      </c>
      <c r="BA729" s="7" t="s">
        <v>46</v>
      </c>
      <c r="BB729" s="9">
        <v>229</v>
      </c>
      <c r="BC729" s="8" t="s">
        <v>1763</v>
      </c>
      <c r="BD729" s="8">
        <v>1.2</v>
      </c>
      <c r="BE729" s="8">
        <v>1.6</v>
      </c>
      <c r="BF729" s="8">
        <v>2.7</v>
      </c>
      <c r="BG729" s="8">
        <v>4.8</v>
      </c>
      <c r="BH729" s="8">
        <v>7.6</v>
      </c>
      <c r="BI729" s="8">
        <v>12.4</v>
      </c>
      <c r="BJ729" s="8">
        <v>17.399999999999999</v>
      </c>
      <c r="BK729" s="8">
        <v>18.600000000000001</v>
      </c>
      <c r="BL729" s="8">
        <v>12.5</v>
      </c>
      <c r="BM729" s="8">
        <v>6.3</v>
      </c>
      <c r="BN729" s="8">
        <v>2.9</v>
      </c>
      <c r="BO729" s="8">
        <v>1.5</v>
      </c>
      <c r="BP729" s="7">
        <v>7.5</v>
      </c>
    </row>
    <row r="730" spans="1:68" ht="14.25" customHeight="1">
      <c r="A730" s="12">
        <v>73</v>
      </c>
      <c r="B730" s="14">
        <v>172</v>
      </c>
      <c r="C730" s="13" t="s">
        <v>30</v>
      </c>
      <c r="D730" s="13" t="s">
        <v>29</v>
      </c>
      <c r="E730" s="13" t="s">
        <v>1760</v>
      </c>
      <c r="F730" s="11">
        <v>-17.399999999999999</v>
      </c>
      <c r="G730" s="11">
        <v>-16</v>
      </c>
      <c r="H730" s="11">
        <v>-9.1</v>
      </c>
      <c r="I730" s="11">
        <v>0.2</v>
      </c>
      <c r="J730" s="11">
        <v>8.1</v>
      </c>
      <c r="K730" s="11">
        <v>15.3</v>
      </c>
      <c r="L730" s="11">
        <v>17.8</v>
      </c>
      <c r="M730" s="11">
        <v>14.6</v>
      </c>
      <c r="N730" s="11">
        <v>8.6999999999999993</v>
      </c>
      <c r="O730" s="11">
        <v>0.8</v>
      </c>
      <c r="P730" s="11">
        <v>-9.6999999999999993</v>
      </c>
      <c r="Q730" s="11">
        <v>-16.399999999999999</v>
      </c>
      <c r="R730" s="10">
        <v>-0.3</v>
      </c>
      <c r="S730" s="12">
        <v>172</v>
      </c>
      <c r="T730" s="8" t="s">
        <v>1762</v>
      </c>
      <c r="U730" s="11">
        <v>-46</v>
      </c>
      <c r="V730" s="11">
        <v>-43</v>
      </c>
      <c r="W730" s="11">
        <v>-43</v>
      </c>
      <c r="X730" s="11">
        <v>-39</v>
      </c>
      <c r="Y730" s="11">
        <v>-22</v>
      </c>
      <c r="Z730" s="11">
        <v>-53</v>
      </c>
      <c r="AA730" s="11">
        <v>7.8</v>
      </c>
      <c r="AB730" s="11">
        <v>178</v>
      </c>
      <c r="AC730" s="11">
        <v>-11.5</v>
      </c>
      <c r="AD730" s="11">
        <v>239</v>
      </c>
      <c r="AE730" s="11">
        <v>-7.6</v>
      </c>
      <c r="AF730" s="11">
        <v>257</v>
      </c>
      <c r="AG730" s="11">
        <v>-6.4</v>
      </c>
      <c r="AH730" s="11">
        <v>77</v>
      </c>
      <c r="AI730" s="11">
        <v>75</v>
      </c>
      <c r="AJ730" s="11">
        <v>106</v>
      </c>
      <c r="AK730" s="11" t="s">
        <v>39</v>
      </c>
      <c r="AL730" s="11" t="s">
        <v>44</v>
      </c>
      <c r="AM730" s="10">
        <v>4.3</v>
      </c>
      <c r="AN730" s="9">
        <v>172</v>
      </c>
      <c r="AO730" s="8" t="s">
        <v>1761</v>
      </c>
      <c r="AP730" s="8">
        <v>975</v>
      </c>
      <c r="AQ730" s="8">
        <v>21.4</v>
      </c>
      <c r="AR730" s="8">
        <v>25.6</v>
      </c>
      <c r="AS730" s="8">
        <v>23.8</v>
      </c>
      <c r="AT730" s="8">
        <v>34</v>
      </c>
      <c r="AU730" s="8">
        <v>11.7</v>
      </c>
      <c r="AV730" s="8">
        <v>73</v>
      </c>
      <c r="AW730" s="8">
        <v>59</v>
      </c>
      <c r="AX730" s="8">
        <v>380</v>
      </c>
      <c r="AY730" s="8">
        <v>99</v>
      </c>
      <c r="AZ730" s="8" t="s">
        <v>82</v>
      </c>
      <c r="BA730" s="7" t="s">
        <v>46</v>
      </c>
      <c r="BB730" s="9">
        <v>151</v>
      </c>
      <c r="BC730" s="8" t="s">
        <v>1760</v>
      </c>
      <c r="BD730" s="8">
        <v>1.5</v>
      </c>
      <c r="BE730" s="8">
        <v>1.5</v>
      </c>
      <c r="BF730" s="8">
        <v>2.5</v>
      </c>
      <c r="BG730" s="8">
        <v>4.4000000000000004</v>
      </c>
      <c r="BH730" s="8">
        <v>6.6</v>
      </c>
      <c r="BI730" s="8">
        <v>11.4</v>
      </c>
      <c r="BJ730" s="8">
        <v>14.8</v>
      </c>
      <c r="BK730" s="8">
        <v>12.9</v>
      </c>
      <c r="BL730" s="8">
        <v>8.5</v>
      </c>
      <c r="BM730" s="8">
        <v>5</v>
      </c>
      <c r="BN730" s="8">
        <v>2.7</v>
      </c>
      <c r="BO730" s="8">
        <v>1.7</v>
      </c>
      <c r="BP730" s="7">
        <v>6.1</v>
      </c>
    </row>
    <row r="731" spans="1:68" ht="14.25" customHeight="1">
      <c r="A731" s="12">
        <v>74</v>
      </c>
      <c r="B731" s="14">
        <v>173</v>
      </c>
      <c r="C731" s="13" t="s">
        <v>30</v>
      </c>
      <c r="D731" s="13" t="s">
        <v>29</v>
      </c>
      <c r="E731" s="13" t="s">
        <v>1757</v>
      </c>
      <c r="F731" s="11">
        <v>-24.4</v>
      </c>
      <c r="G731" s="11">
        <v>-22.4</v>
      </c>
      <c r="H731" s="11">
        <v>-12.1</v>
      </c>
      <c r="I731" s="11">
        <v>-0.5</v>
      </c>
      <c r="J731" s="11">
        <v>7.2</v>
      </c>
      <c r="K731" s="11">
        <v>15.7</v>
      </c>
      <c r="L731" s="11">
        <v>18.8</v>
      </c>
      <c r="M731" s="11">
        <v>14.9</v>
      </c>
      <c r="N731" s="11">
        <v>8</v>
      </c>
      <c r="O731" s="11">
        <v>-0.5</v>
      </c>
      <c r="P731" s="11">
        <v>-13.4</v>
      </c>
      <c r="Q731" s="11">
        <v>-22.8</v>
      </c>
      <c r="R731" s="10">
        <v>-2.6</v>
      </c>
      <c r="S731" s="12">
        <v>173</v>
      </c>
      <c r="T731" s="8" t="s">
        <v>1759</v>
      </c>
      <c r="U731" s="11">
        <v>-51</v>
      </c>
      <c r="V731" s="11">
        <v>-49</v>
      </c>
      <c r="W731" s="11">
        <v>-49</v>
      </c>
      <c r="X731" s="11">
        <v>-46</v>
      </c>
      <c r="Y731" s="11">
        <v>-29</v>
      </c>
      <c r="Z731" s="11">
        <v>-54</v>
      </c>
      <c r="AA731" s="11">
        <v>10.8</v>
      </c>
      <c r="AB731" s="11">
        <v>185</v>
      </c>
      <c r="AC731" s="11">
        <v>-15.6</v>
      </c>
      <c r="AD731" s="11">
        <v>245</v>
      </c>
      <c r="AE731" s="11">
        <v>-10.8</v>
      </c>
      <c r="AF731" s="11">
        <v>261</v>
      </c>
      <c r="AG731" s="11">
        <v>-9.6</v>
      </c>
      <c r="AH731" s="11">
        <v>76</v>
      </c>
      <c r="AI731" s="11">
        <v>75</v>
      </c>
      <c r="AJ731" s="11">
        <v>85</v>
      </c>
      <c r="AK731" s="11" t="s">
        <v>48</v>
      </c>
      <c r="AL731" s="11">
        <v>5.3</v>
      </c>
      <c r="AM731" s="10">
        <v>2.7</v>
      </c>
      <c r="AN731" s="9">
        <v>173</v>
      </c>
      <c r="AO731" s="8" t="s">
        <v>1758</v>
      </c>
      <c r="AP731" s="8">
        <v>990</v>
      </c>
      <c r="AQ731" s="8">
        <v>23.3</v>
      </c>
      <c r="AR731" s="8">
        <v>26.8</v>
      </c>
      <c r="AS731" s="8">
        <v>25.7</v>
      </c>
      <c r="AT731" s="8">
        <v>38</v>
      </c>
      <c r="AU731" s="8">
        <v>13.5</v>
      </c>
      <c r="AV731" s="8">
        <v>68</v>
      </c>
      <c r="AW731" s="8">
        <v>51</v>
      </c>
      <c r="AX731" s="8">
        <v>292</v>
      </c>
      <c r="AY731" s="8">
        <v>63</v>
      </c>
      <c r="AZ731" s="8" t="s">
        <v>43</v>
      </c>
      <c r="BA731" s="7">
        <v>0</v>
      </c>
      <c r="BB731" s="9">
        <v>152</v>
      </c>
      <c r="BC731" s="8" t="s">
        <v>1757</v>
      </c>
      <c r="BD731" s="8">
        <v>0.9</v>
      </c>
      <c r="BE731" s="8">
        <v>1</v>
      </c>
      <c r="BF731" s="8">
        <v>2</v>
      </c>
      <c r="BG731" s="8">
        <v>3.7</v>
      </c>
      <c r="BH731" s="8">
        <v>5.9</v>
      </c>
      <c r="BI731" s="8">
        <v>10.6</v>
      </c>
      <c r="BJ731" s="8">
        <v>14.6</v>
      </c>
      <c r="BK731" s="8">
        <v>12.6</v>
      </c>
      <c r="BL731" s="8">
        <v>8.3000000000000007</v>
      </c>
      <c r="BM731" s="8">
        <v>4.5999999999999996</v>
      </c>
      <c r="BN731" s="8">
        <v>2.1</v>
      </c>
      <c r="BO731" s="8">
        <v>1.1000000000000001</v>
      </c>
      <c r="BP731" s="7">
        <v>5.6</v>
      </c>
    </row>
    <row r="732" spans="1:68" ht="14.25" customHeight="1">
      <c r="A732" s="12">
        <v>75</v>
      </c>
      <c r="B732" s="14">
        <v>84</v>
      </c>
      <c r="C732" s="13" t="s">
        <v>30</v>
      </c>
      <c r="D732" s="13" t="s">
        <v>300</v>
      </c>
      <c r="E732" s="13" t="s">
        <v>1754</v>
      </c>
      <c r="F732" s="11">
        <v>-30.8</v>
      </c>
      <c r="G732" s="11">
        <v>-26.8</v>
      </c>
      <c r="H732" s="11">
        <v>-15.4</v>
      </c>
      <c r="I732" s="11">
        <v>-2.7</v>
      </c>
      <c r="J732" s="11">
        <v>6.1</v>
      </c>
      <c r="K732" s="11">
        <v>14.2</v>
      </c>
      <c r="L732" s="11">
        <v>17.600000000000001</v>
      </c>
      <c r="M732" s="11">
        <v>14.5</v>
      </c>
      <c r="N732" s="11">
        <v>6.9</v>
      </c>
      <c r="O732" s="11">
        <v>-3.1</v>
      </c>
      <c r="P732" s="11">
        <v>-18.600000000000001</v>
      </c>
      <c r="Q732" s="11">
        <v>-28.9</v>
      </c>
      <c r="R732" s="10">
        <v>-5.6</v>
      </c>
      <c r="S732" s="12">
        <v>84</v>
      </c>
      <c r="T732" s="8" t="s">
        <v>1756</v>
      </c>
      <c r="U732" s="11">
        <v>-52</v>
      </c>
      <c r="V732" s="11">
        <v>-50</v>
      </c>
      <c r="W732" s="11">
        <v>-50</v>
      </c>
      <c r="X732" s="11">
        <v>-47</v>
      </c>
      <c r="Y732" s="11">
        <v>-36</v>
      </c>
      <c r="Z732" s="11">
        <v>-55</v>
      </c>
      <c r="AA732" s="11">
        <v>9</v>
      </c>
      <c r="AB732" s="11">
        <v>200</v>
      </c>
      <c r="AC732" s="11">
        <v>-18.7</v>
      </c>
      <c r="AD732" s="11">
        <v>254</v>
      </c>
      <c r="AE732" s="11">
        <v>-13.9</v>
      </c>
      <c r="AF732" s="11">
        <v>270</v>
      </c>
      <c r="AG732" s="11">
        <v>-12.6</v>
      </c>
      <c r="AH732" s="11">
        <v>80</v>
      </c>
      <c r="AI732" s="11">
        <v>78</v>
      </c>
      <c r="AJ732" s="11">
        <v>113</v>
      </c>
      <c r="AK732" s="11" t="s">
        <v>44</v>
      </c>
      <c r="AL732" s="11" t="s">
        <v>44</v>
      </c>
      <c r="AM732" s="10">
        <v>1.4</v>
      </c>
      <c r="AN732" s="9">
        <v>84</v>
      </c>
      <c r="AO732" s="8" t="s">
        <v>1755</v>
      </c>
      <c r="AP732" s="8">
        <v>975</v>
      </c>
      <c r="AQ732" s="8">
        <v>21.9</v>
      </c>
      <c r="AR732" s="8">
        <v>27</v>
      </c>
      <c r="AS732" s="8">
        <v>26.1</v>
      </c>
      <c r="AT732" s="8">
        <v>40</v>
      </c>
      <c r="AU732" s="8">
        <v>14.6</v>
      </c>
      <c r="AV732" s="8">
        <v>74</v>
      </c>
      <c r="AW732" s="8">
        <v>55</v>
      </c>
      <c r="AX732" s="8">
        <v>387</v>
      </c>
      <c r="AY732" s="8">
        <v>62</v>
      </c>
      <c r="AZ732" s="8" t="s">
        <v>114</v>
      </c>
      <c r="BA732" s="7" t="s">
        <v>46</v>
      </c>
      <c r="BB732" s="9">
        <v>68</v>
      </c>
      <c r="BC732" s="8" t="s">
        <v>1754</v>
      </c>
      <c r="BD732" s="8">
        <v>0.6</v>
      </c>
      <c r="BE732" s="8">
        <v>0.7</v>
      </c>
      <c r="BF732" s="8">
        <v>1.5</v>
      </c>
      <c r="BG732" s="8">
        <v>3.4</v>
      </c>
      <c r="BH732" s="8">
        <v>5.6</v>
      </c>
      <c r="BI732" s="8">
        <v>10.6</v>
      </c>
      <c r="BJ732" s="8">
        <v>14.7</v>
      </c>
      <c r="BK732" s="8">
        <v>13</v>
      </c>
      <c r="BL732" s="8">
        <v>8</v>
      </c>
      <c r="BM732" s="8">
        <v>4</v>
      </c>
      <c r="BN732" s="8">
        <v>1.4</v>
      </c>
      <c r="BO732" s="8">
        <v>0.7</v>
      </c>
      <c r="BP732" s="7">
        <v>5.4</v>
      </c>
    </row>
    <row r="733" spans="1:68" ht="14.25" customHeight="1">
      <c r="A733" s="12">
        <v>76</v>
      </c>
      <c r="B733" s="14">
        <v>233</v>
      </c>
      <c r="C733" s="13" t="s">
        <v>30</v>
      </c>
      <c r="D733" s="13" t="s">
        <v>149</v>
      </c>
      <c r="E733" s="13" t="s">
        <v>1751</v>
      </c>
      <c r="F733" s="11">
        <v>-18.5</v>
      </c>
      <c r="G733" s="11">
        <v>-16.8</v>
      </c>
      <c r="H733" s="11">
        <v>-9.4</v>
      </c>
      <c r="I733" s="11">
        <v>1.1000000000000001</v>
      </c>
      <c r="J733" s="11">
        <v>9.6</v>
      </c>
      <c r="K733" s="11">
        <v>16.399999999999999</v>
      </c>
      <c r="L733" s="11">
        <v>18.899999999999999</v>
      </c>
      <c r="M733" s="11">
        <v>15.5</v>
      </c>
      <c r="N733" s="11">
        <v>9.6</v>
      </c>
      <c r="O733" s="11">
        <v>1.1000000000000001</v>
      </c>
      <c r="P733" s="11">
        <v>-9.6999999999999993</v>
      </c>
      <c r="Q733" s="11">
        <v>-16.899999999999999</v>
      </c>
      <c r="R733" s="10">
        <v>0.1</v>
      </c>
      <c r="S733" s="12">
        <v>233</v>
      </c>
      <c r="T733" s="8" t="s">
        <v>1753</v>
      </c>
      <c r="U733" s="11">
        <v>-43</v>
      </c>
      <c r="V733" s="11">
        <v>-42</v>
      </c>
      <c r="W733" s="11">
        <v>-40</v>
      </c>
      <c r="X733" s="11">
        <v>-39</v>
      </c>
      <c r="Y733" s="11">
        <v>-24</v>
      </c>
      <c r="Z733" s="11">
        <v>-51</v>
      </c>
      <c r="AA733" s="11">
        <v>8.3000000000000007</v>
      </c>
      <c r="AB733" s="11">
        <v>175</v>
      </c>
      <c r="AC733" s="11">
        <v>-12.1</v>
      </c>
      <c r="AD733" s="11">
        <v>231</v>
      </c>
      <c r="AE733" s="11">
        <v>-8.1999999999999993</v>
      </c>
      <c r="AF733" s="11">
        <v>246</v>
      </c>
      <c r="AG733" s="11">
        <v>-7.1</v>
      </c>
      <c r="AH733" s="11">
        <v>82</v>
      </c>
      <c r="AI733" s="11">
        <v>80</v>
      </c>
      <c r="AJ733" s="11">
        <v>154</v>
      </c>
      <c r="AK733" s="11" t="s">
        <v>39</v>
      </c>
      <c r="AL733" s="11">
        <v>5.6</v>
      </c>
      <c r="AM733" s="10">
        <v>4.4000000000000004</v>
      </c>
      <c r="AN733" s="9">
        <v>233</v>
      </c>
      <c r="AO733" s="8" t="s">
        <v>1752</v>
      </c>
      <c r="AP733" s="8">
        <v>985</v>
      </c>
      <c r="AQ733" s="8">
        <v>22.4</v>
      </c>
      <c r="AR733" s="8">
        <v>26.6</v>
      </c>
      <c r="AS733" s="8">
        <v>24.8</v>
      </c>
      <c r="AT733" s="8">
        <v>36</v>
      </c>
      <c r="AU733" s="8">
        <v>11.5</v>
      </c>
      <c r="AV733" s="8">
        <v>72</v>
      </c>
      <c r="AW733" s="8">
        <v>57</v>
      </c>
      <c r="AX733" s="8">
        <v>372</v>
      </c>
      <c r="AY733" s="8">
        <v>64</v>
      </c>
      <c r="AZ733" s="8" t="s">
        <v>82</v>
      </c>
      <c r="BA733" s="7">
        <v>2.9</v>
      </c>
      <c r="BB733" s="9">
        <v>205</v>
      </c>
      <c r="BC733" s="8" t="s">
        <v>1751</v>
      </c>
      <c r="BD733" s="8">
        <v>1.4</v>
      </c>
      <c r="BE733" s="8">
        <v>1.6</v>
      </c>
      <c r="BF733" s="8">
        <v>2.6</v>
      </c>
      <c r="BG733" s="8">
        <v>4.8</v>
      </c>
      <c r="BH733" s="8">
        <v>7.1</v>
      </c>
      <c r="BI733" s="8">
        <v>12</v>
      </c>
      <c r="BJ733" s="8">
        <v>15.4</v>
      </c>
      <c r="BK733" s="8">
        <v>13.3</v>
      </c>
      <c r="BL733" s="8">
        <v>9.1</v>
      </c>
      <c r="BM733" s="8">
        <v>5.4</v>
      </c>
      <c r="BN733" s="8">
        <v>2.9</v>
      </c>
      <c r="BO733" s="8">
        <v>1.8</v>
      </c>
      <c r="BP733" s="7">
        <v>6.5</v>
      </c>
    </row>
    <row r="734" spans="1:68" ht="14.25" customHeight="1">
      <c r="A734" s="12">
        <v>77</v>
      </c>
      <c r="B734" s="14">
        <v>17</v>
      </c>
      <c r="C734" s="13" t="s">
        <v>30</v>
      </c>
      <c r="D734" s="13" t="s">
        <v>99</v>
      </c>
      <c r="E734" s="13" t="s">
        <v>1748</v>
      </c>
      <c r="F734" s="11">
        <v>-32.200000000000003</v>
      </c>
      <c r="G734" s="11">
        <v>-24.8</v>
      </c>
      <c r="H734" s="11">
        <v>-13.1</v>
      </c>
      <c r="I734" s="11">
        <v>-1.6</v>
      </c>
      <c r="J734" s="11">
        <v>7.9</v>
      </c>
      <c r="K734" s="11">
        <v>14.7</v>
      </c>
      <c r="L734" s="11">
        <v>17.8</v>
      </c>
      <c r="M734" s="11">
        <v>15.3</v>
      </c>
      <c r="N734" s="11">
        <v>8.5</v>
      </c>
      <c r="O734" s="11">
        <v>-2.8</v>
      </c>
      <c r="P734" s="11">
        <v>-20</v>
      </c>
      <c r="Q734" s="11">
        <v>-30.7</v>
      </c>
      <c r="R734" s="10">
        <v>-5.0999999999999996</v>
      </c>
      <c r="S734" s="12">
        <v>17</v>
      </c>
      <c r="T734" s="8" t="s">
        <v>1750</v>
      </c>
      <c r="U734" s="11">
        <v>-46</v>
      </c>
      <c r="V734" s="11">
        <v>-45</v>
      </c>
      <c r="W734" s="11">
        <v>-44</v>
      </c>
      <c r="X734" s="11">
        <v>-42</v>
      </c>
      <c r="Y734" s="11">
        <v>-37</v>
      </c>
      <c r="Z734" s="11">
        <v>-52</v>
      </c>
      <c r="AA734" s="11">
        <v>11.1</v>
      </c>
      <c r="AB734" s="11">
        <v>194</v>
      </c>
      <c r="AC734" s="11">
        <v>-19.2</v>
      </c>
      <c r="AD734" s="11">
        <v>242</v>
      </c>
      <c r="AE734" s="11">
        <v>-14.7</v>
      </c>
      <c r="AF734" s="11">
        <v>259</v>
      </c>
      <c r="AG734" s="11">
        <v>-13.1</v>
      </c>
      <c r="AH734" s="11">
        <v>73</v>
      </c>
      <c r="AI734" s="11">
        <v>66</v>
      </c>
      <c r="AJ734" s="11">
        <v>54</v>
      </c>
      <c r="AK734" s="11" t="s">
        <v>199</v>
      </c>
      <c r="AL734" s="11">
        <v>1.9</v>
      </c>
      <c r="AM734" s="10">
        <v>1.4</v>
      </c>
      <c r="AN734" s="9">
        <v>17</v>
      </c>
      <c r="AO734" s="8" t="s">
        <v>1749</v>
      </c>
      <c r="AP734" s="8">
        <v>965</v>
      </c>
      <c r="AQ734" s="8">
        <v>21.7</v>
      </c>
      <c r="AR734" s="8">
        <v>26</v>
      </c>
      <c r="AS734" s="8">
        <v>24.6</v>
      </c>
      <c r="AT734" s="8">
        <v>35</v>
      </c>
      <c r="AU734" s="8">
        <v>12.8</v>
      </c>
      <c r="AV734" s="8">
        <v>75</v>
      </c>
      <c r="AW734" s="8">
        <v>61</v>
      </c>
      <c r="AX734" s="8">
        <v>533</v>
      </c>
      <c r="AY734" s="8">
        <v>101</v>
      </c>
      <c r="AZ734" s="8" t="s">
        <v>63</v>
      </c>
      <c r="BA734" s="7">
        <v>3.5</v>
      </c>
      <c r="BB734" s="9">
        <v>15</v>
      </c>
      <c r="BC734" s="8" t="s">
        <v>1748</v>
      </c>
      <c r="BD734" s="8">
        <v>0.4</v>
      </c>
      <c r="BE734" s="8">
        <v>0.6</v>
      </c>
      <c r="BF734" s="8">
        <v>1.4</v>
      </c>
      <c r="BG734" s="8">
        <v>3</v>
      </c>
      <c r="BH734" s="8">
        <v>5.8</v>
      </c>
      <c r="BI734" s="8">
        <v>11</v>
      </c>
      <c r="BJ734" s="8">
        <v>15.2</v>
      </c>
      <c r="BK734" s="8">
        <v>13.9</v>
      </c>
      <c r="BL734" s="8">
        <v>8.3000000000000007</v>
      </c>
      <c r="BM734" s="8">
        <v>3.4</v>
      </c>
      <c r="BN734" s="8">
        <v>1.1000000000000001</v>
      </c>
      <c r="BO734" s="8">
        <v>0.5</v>
      </c>
      <c r="BP734" s="7">
        <v>5.4</v>
      </c>
    </row>
    <row r="735" spans="1:68" ht="14.25" customHeight="1">
      <c r="A735" s="12">
        <v>78</v>
      </c>
      <c r="B735" s="14">
        <v>379</v>
      </c>
      <c r="C735" s="13" t="s">
        <v>30</v>
      </c>
      <c r="D735" s="13" t="s">
        <v>162</v>
      </c>
      <c r="E735" s="13" t="s">
        <v>1745</v>
      </c>
      <c r="F735" s="11">
        <v>-26.9</v>
      </c>
      <c r="G735" s="11">
        <v>-23.5</v>
      </c>
      <c r="H735" s="11">
        <v>-12.1</v>
      </c>
      <c r="I735" s="11">
        <v>0.4</v>
      </c>
      <c r="J735" s="11">
        <v>9.1999999999999993</v>
      </c>
      <c r="K735" s="11">
        <v>16.3</v>
      </c>
      <c r="L735" s="11">
        <v>18.7</v>
      </c>
      <c r="M735" s="11">
        <v>16.3</v>
      </c>
      <c r="N735" s="11">
        <v>8.9</v>
      </c>
      <c r="O735" s="11">
        <v>-0.8</v>
      </c>
      <c r="P735" s="11">
        <v>-13.9</v>
      </c>
      <c r="Q735" s="11">
        <v>-23.8</v>
      </c>
      <c r="R735" s="10">
        <v>-2.6</v>
      </c>
      <c r="S735" s="12">
        <v>379</v>
      </c>
      <c r="T735" s="8" t="s">
        <v>1747</v>
      </c>
      <c r="U735" s="11">
        <v>-45</v>
      </c>
      <c r="V735" s="11">
        <v>-42</v>
      </c>
      <c r="W735" s="11">
        <v>-44</v>
      </c>
      <c r="X735" s="11">
        <v>-40</v>
      </c>
      <c r="Y735" s="11">
        <v>-32</v>
      </c>
      <c r="Z735" s="11">
        <v>-52</v>
      </c>
      <c r="AA735" s="11">
        <v>13.9</v>
      </c>
      <c r="AB735" s="11">
        <v>183</v>
      </c>
      <c r="AC735" s="11">
        <v>-16.5</v>
      </c>
      <c r="AD735" s="11">
        <v>236</v>
      </c>
      <c r="AE735" s="11">
        <v>-12</v>
      </c>
      <c r="AF735" s="11">
        <v>250</v>
      </c>
      <c r="AG735" s="11">
        <v>-10.7</v>
      </c>
      <c r="AH735" s="11">
        <v>78</v>
      </c>
      <c r="AI735" s="11">
        <v>78</v>
      </c>
      <c r="AJ735" s="11">
        <v>21</v>
      </c>
      <c r="AK735" s="11" t="s">
        <v>199</v>
      </c>
      <c r="AL735" s="11" t="s">
        <v>44</v>
      </c>
      <c r="AM735" s="10">
        <v>3.1</v>
      </c>
      <c r="AN735" s="9">
        <v>379</v>
      </c>
      <c r="AO735" s="8" t="s">
        <v>1746</v>
      </c>
      <c r="AP735" s="8">
        <v>930</v>
      </c>
      <c r="AQ735" s="8">
        <v>23.2</v>
      </c>
      <c r="AR735" s="8">
        <v>27.2</v>
      </c>
      <c r="AS735" s="8">
        <v>26</v>
      </c>
      <c r="AT735" s="8">
        <v>41</v>
      </c>
      <c r="AU735" s="8">
        <v>12.9</v>
      </c>
      <c r="AV735" s="8">
        <v>68</v>
      </c>
      <c r="AW735" s="8">
        <v>65</v>
      </c>
      <c r="AX735" s="8">
        <v>276</v>
      </c>
      <c r="AY735" s="8">
        <v>73</v>
      </c>
      <c r="AZ735" s="8" t="s">
        <v>37</v>
      </c>
      <c r="BA735" s="7" t="s">
        <v>46</v>
      </c>
      <c r="BB735" s="9">
        <v>343</v>
      </c>
      <c r="BC735" s="8" t="s">
        <v>1745</v>
      </c>
      <c r="BD735" s="8">
        <v>0.6</v>
      </c>
      <c r="BE735" s="8">
        <v>0.8</v>
      </c>
      <c r="BF735" s="8">
        <v>1.8</v>
      </c>
      <c r="BG735" s="8">
        <v>3.3</v>
      </c>
      <c r="BH735" s="8">
        <v>5.4</v>
      </c>
      <c r="BI735" s="8">
        <v>10.5</v>
      </c>
      <c r="BJ735" s="8">
        <v>14.9</v>
      </c>
      <c r="BK735" s="8">
        <v>13.2</v>
      </c>
      <c r="BL735" s="8">
        <v>7.7</v>
      </c>
      <c r="BM735" s="8">
        <v>3.8</v>
      </c>
      <c r="BN735" s="8">
        <v>1.7</v>
      </c>
      <c r="BO735" s="8">
        <v>0.8</v>
      </c>
      <c r="BP735" s="7">
        <v>5.4</v>
      </c>
    </row>
    <row r="736" spans="1:68" ht="14.25" customHeight="1">
      <c r="A736" s="12">
        <v>79</v>
      </c>
      <c r="B736" s="14">
        <v>39</v>
      </c>
      <c r="C736" s="13" t="s">
        <v>30</v>
      </c>
      <c r="D736" s="13" t="s">
        <v>844</v>
      </c>
      <c r="E736" s="13" t="s">
        <v>1742</v>
      </c>
      <c r="F736" s="11">
        <v>-17.8</v>
      </c>
      <c r="G736" s="11">
        <v>-16.399999999999999</v>
      </c>
      <c r="H736" s="11">
        <v>-11.2</v>
      </c>
      <c r="I736" s="11">
        <v>-2.9</v>
      </c>
      <c r="J736" s="11">
        <v>3.1</v>
      </c>
      <c r="K736" s="11">
        <v>10.199999999999999</v>
      </c>
      <c r="L736" s="11">
        <v>13.5</v>
      </c>
      <c r="M736" s="11">
        <v>11</v>
      </c>
      <c r="N736" s="11">
        <v>5.5</v>
      </c>
      <c r="O736" s="11">
        <v>-1.7</v>
      </c>
      <c r="P736" s="11">
        <v>-8.1</v>
      </c>
      <c r="Q736" s="11">
        <v>-13.9</v>
      </c>
      <c r="R736" s="10">
        <v>-2.4</v>
      </c>
      <c r="S736" s="12">
        <v>39</v>
      </c>
      <c r="T736" s="8" t="s">
        <v>1744</v>
      </c>
      <c r="U736" s="11">
        <v>-49</v>
      </c>
      <c r="V736" s="11">
        <v>-47</v>
      </c>
      <c r="W736" s="11">
        <v>-44</v>
      </c>
      <c r="X736" s="11">
        <v>-42</v>
      </c>
      <c r="Y736" s="11">
        <v>-23</v>
      </c>
      <c r="Z736" s="11">
        <v>-55</v>
      </c>
      <c r="AA736" s="11">
        <v>10</v>
      </c>
      <c r="AB736" s="11">
        <v>203</v>
      </c>
      <c r="AC736" s="11">
        <v>-10.5</v>
      </c>
      <c r="AD736" s="11">
        <v>277</v>
      </c>
      <c r="AE736" s="11">
        <v>-6.6</v>
      </c>
      <c r="AF736" s="11">
        <v>297</v>
      </c>
      <c r="AG736" s="11">
        <v>-5.6</v>
      </c>
      <c r="AH736" s="11">
        <v>83</v>
      </c>
      <c r="AI736" s="11">
        <v>83</v>
      </c>
      <c r="AJ736" s="11">
        <v>191</v>
      </c>
      <c r="AK736" s="11" t="s">
        <v>39</v>
      </c>
      <c r="AL736" s="11" t="s">
        <v>44</v>
      </c>
      <c r="AM736" s="10">
        <v>2.6</v>
      </c>
      <c r="AN736" s="9">
        <v>39</v>
      </c>
      <c r="AO736" s="8" t="s">
        <v>1743</v>
      </c>
      <c r="AP736" s="8">
        <v>990</v>
      </c>
      <c r="AQ736" s="8">
        <v>17.899999999999999</v>
      </c>
      <c r="AR736" s="8">
        <v>22.3</v>
      </c>
      <c r="AS736" s="8">
        <v>20.3</v>
      </c>
      <c r="AT736" s="8">
        <v>35</v>
      </c>
      <c r="AU736" s="8">
        <v>14.2</v>
      </c>
      <c r="AV736" s="8">
        <v>74</v>
      </c>
      <c r="AW736" s="8">
        <v>60</v>
      </c>
      <c r="AX736" s="8">
        <v>435</v>
      </c>
      <c r="AY736" s="8">
        <v>76</v>
      </c>
      <c r="AZ736" s="8" t="s">
        <v>54</v>
      </c>
      <c r="BA736" s="7" t="s">
        <v>46</v>
      </c>
      <c r="BB736" s="9">
        <v>25</v>
      </c>
      <c r="BC736" s="8" t="s">
        <v>1742</v>
      </c>
      <c r="BD736" s="8">
        <v>1.8</v>
      </c>
      <c r="BE736" s="8">
        <v>1.8</v>
      </c>
      <c r="BF736" s="8">
        <v>2.5</v>
      </c>
      <c r="BG736" s="8">
        <v>3.9</v>
      </c>
      <c r="BH736" s="8">
        <v>5.4</v>
      </c>
      <c r="BI736" s="8">
        <v>8.6</v>
      </c>
      <c r="BJ736" s="8">
        <v>11.4</v>
      </c>
      <c r="BK736" s="8">
        <v>11</v>
      </c>
      <c r="BL736" s="8">
        <v>8.1</v>
      </c>
      <c r="BM736" s="8">
        <v>5.2</v>
      </c>
      <c r="BN736" s="8">
        <v>3.5</v>
      </c>
      <c r="BO736" s="8">
        <v>2.4</v>
      </c>
      <c r="BP736" s="7">
        <v>5.5</v>
      </c>
    </row>
    <row r="737" spans="1:68" ht="14.25" customHeight="1">
      <c r="A737" s="12">
        <v>80</v>
      </c>
      <c r="B737" s="14">
        <v>230</v>
      </c>
      <c r="C737" s="13" t="s">
        <v>30</v>
      </c>
      <c r="D737" s="13" t="s">
        <v>1690</v>
      </c>
      <c r="E737" s="13" t="s">
        <v>1739</v>
      </c>
      <c r="F737" s="11">
        <v>-9.8000000000000007</v>
      </c>
      <c r="G737" s="11">
        <v>-8.8000000000000007</v>
      </c>
      <c r="H737" s="11">
        <v>-3.8</v>
      </c>
      <c r="I737" s="11">
        <v>3.8</v>
      </c>
      <c r="J737" s="11">
        <v>11</v>
      </c>
      <c r="K737" s="11">
        <v>15.4</v>
      </c>
      <c r="L737" s="11">
        <v>17.399999999999999</v>
      </c>
      <c r="M737" s="11">
        <v>15.4</v>
      </c>
      <c r="N737" s="11">
        <v>10</v>
      </c>
      <c r="O737" s="11">
        <v>4.2</v>
      </c>
      <c r="P737" s="11">
        <v>-1.6</v>
      </c>
      <c r="Q737" s="11">
        <v>-6.7</v>
      </c>
      <c r="R737" s="10">
        <v>3.9</v>
      </c>
      <c r="S737" s="12">
        <v>230</v>
      </c>
      <c r="T737" s="8" t="s">
        <v>1741</v>
      </c>
      <c r="U737" s="11">
        <v>-39</v>
      </c>
      <c r="V737" s="11">
        <v>-34</v>
      </c>
      <c r="W737" s="11">
        <v>-32</v>
      </c>
      <c r="X737" s="11">
        <v>-29</v>
      </c>
      <c r="Y737" s="11">
        <v>-13</v>
      </c>
      <c r="Z737" s="11">
        <v>-45</v>
      </c>
      <c r="AA737" s="11">
        <v>6.8</v>
      </c>
      <c r="AB737" s="11">
        <v>145</v>
      </c>
      <c r="AC737" s="11">
        <v>-6.4</v>
      </c>
      <c r="AD737" s="11">
        <v>220</v>
      </c>
      <c r="AE737" s="11">
        <v>-2.8</v>
      </c>
      <c r="AF737" s="11">
        <v>239</v>
      </c>
      <c r="AG737" s="11">
        <v>-1.8</v>
      </c>
      <c r="AH737" s="11">
        <v>85</v>
      </c>
      <c r="AI737" s="11">
        <v>83</v>
      </c>
      <c r="AJ737" s="11">
        <v>144</v>
      </c>
      <c r="AK737" s="11" t="s">
        <v>27</v>
      </c>
      <c r="AL737" s="11">
        <v>3.9</v>
      </c>
      <c r="AM737" s="10">
        <v>3.4</v>
      </c>
      <c r="AN737" s="9">
        <v>230</v>
      </c>
      <c r="AO737" s="8" t="s">
        <v>1740</v>
      </c>
      <c r="AP737" s="8">
        <v>1005</v>
      </c>
      <c r="AQ737" s="8">
        <v>20</v>
      </c>
      <c r="AR737" s="8">
        <v>25</v>
      </c>
      <c r="AS737" s="8">
        <v>23.2</v>
      </c>
      <c r="AT737" s="8">
        <v>36</v>
      </c>
      <c r="AU737" s="8">
        <v>11</v>
      </c>
      <c r="AV737" s="8">
        <v>75</v>
      </c>
      <c r="AW737" s="8">
        <v>58</v>
      </c>
      <c r="AX737" s="8">
        <v>463</v>
      </c>
      <c r="AY737" s="8" t="s">
        <v>64</v>
      </c>
      <c r="AZ737" s="8" t="s">
        <v>43</v>
      </c>
      <c r="BA737" s="7">
        <v>0</v>
      </c>
      <c r="BB737" s="9"/>
      <c r="BC737" s="8" t="s">
        <v>1739</v>
      </c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7"/>
    </row>
    <row r="738" spans="1:68" ht="14.25" customHeight="1">
      <c r="A738" s="12">
        <v>81</v>
      </c>
      <c r="B738" s="14">
        <v>18</v>
      </c>
      <c r="C738" s="13" t="s">
        <v>30</v>
      </c>
      <c r="D738" s="13" t="s">
        <v>99</v>
      </c>
      <c r="E738" s="13" t="s">
        <v>1736</v>
      </c>
      <c r="F738" s="11">
        <v>-28</v>
      </c>
      <c r="G738" s="11">
        <v>-21.8</v>
      </c>
      <c r="H738" s="11">
        <v>-12.1</v>
      </c>
      <c r="I738" s="11">
        <v>0.8</v>
      </c>
      <c r="J738" s="11">
        <v>9.5</v>
      </c>
      <c r="K738" s="11">
        <v>16.3</v>
      </c>
      <c r="L738" s="11">
        <v>19.899999999999999</v>
      </c>
      <c r="M738" s="11">
        <v>17.600000000000001</v>
      </c>
      <c r="N738" s="11">
        <v>10.8</v>
      </c>
      <c r="O738" s="11">
        <v>0.5</v>
      </c>
      <c r="P738" s="11">
        <v>-14.3</v>
      </c>
      <c r="Q738" s="11">
        <v>-25.3</v>
      </c>
      <c r="R738" s="10">
        <v>-2.2000000000000002</v>
      </c>
      <c r="S738" s="12">
        <v>18</v>
      </c>
      <c r="T738" s="8" t="s">
        <v>1738</v>
      </c>
      <c r="U738" s="11">
        <v>-41</v>
      </c>
      <c r="V738" s="11">
        <v>-40</v>
      </c>
      <c r="W738" s="11">
        <v>-39</v>
      </c>
      <c r="X738" s="11">
        <v>-37</v>
      </c>
      <c r="Y738" s="11">
        <v>-33</v>
      </c>
      <c r="Z738" s="11">
        <v>-51</v>
      </c>
      <c r="AA738" s="11">
        <v>11.2</v>
      </c>
      <c r="AB738" s="11">
        <v>179</v>
      </c>
      <c r="AC738" s="11">
        <v>-17.100000000000001</v>
      </c>
      <c r="AD738" s="11">
        <v>229</v>
      </c>
      <c r="AE738" s="11">
        <v>-12.4</v>
      </c>
      <c r="AF738" s="11">
        <v>242</v>
      </c>
      <c r="AG738" s="11">
        <v>-11.2</v>
      </c>
      <c r="AH738" s="11">
        <v>75</v>
      </c>
      <c r="AI738" s="11">
        <v>72</v>
      </c>
      <c r="AJ738" s="11">
        <v>58</v>
      </c>
      <c r="AK738" s="11" t="s">
        <v>75</v>
      </c>
      <c r="AL738" s="11" t="s">
        <v>44</v>
      </c>
      <c r="AM738" s="10" t="s">
        <v>44</v>
      </c>
      <c r="AN738" s="9">
        <v>18</v>
      </c>
      <c r="AO738" s="8" t="s">
        <v>1737</v>
      </c>
      <c r="AP738" s="8">
        <v>980</v>
      </c>
      <c r="AQ738" s="8">
        <v>23.2</v>
      </c>
      <c r="AR738" s="8">
        <v>27.3</v>
      </c>
      <c r="AS738" s="8">
        <v>25.6</v>
      </c>
      <c r="AT738" s="8">
        <v>39</v>
      </c>
      <c r="AU738" s="8">
        <v>11.7</v>
      </c>
      <c r="AV738" s="8">
        <v>79</v>
      </c>
      <c r="AW738" s="8">
        <v>63</v>
      </c>
      <c r="AX738" s="8">
        <v>550</v>
      </c>
      <c r="AY738" s="8" t="s">
        <v>64</v>
      </c>
      <c r="AZ738" s="8" t="s">
        <v>25</v>
      </c>
      <c r="BA738" s="7" t="s">
        <v>46</v>
      </c>
      <c r="BB738" s="9"/>
      <c r="BC738" s="8" t="s">
        <v>1736</v>
      </c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7"/>
    </row>
    <row r="739" spans="1:68" ht="14.25" customHeight="1">
      <c r="A739" s="12">
        <v>82</v>
      </c>
      <c r="B739" s="14">
        <v>85</v>
      </c>
      <c r="C739" s="13" t="s">
        <v>30</v>
      </c>
      <c r="D739" s="13" t="s">
        <v>300</v>
      </c>
      <c r="E739" s="13" t="s">
        <v>1733</v>
      </c>
      <c r="F739" s="11">
        <v>-20.7</v>
      </c>
      <c r="G739" s="11">
        <v>-19.399999999999999</v>
      </c>
      <c r="H739" s="11">
        <v>-10.199999999999999</v>
      </c>
      <c r="I739" s="11">
        <v>-1.2</v>
      </c>
      <c r="J739" s="11">
        <v>6.2</v>
      </c>
      <c r="K739" s="11">
        <v>14</v>
      </c>
      <c r="L739" s="11">
        <v>17.8</v>
      </c>
      <c r="M739" s="11">
        <v>14.8</v>
      </c>
      <c r="N739" s="11">
        <v>8.1</v>
      </c>
      <c r="O739" s="11">
        <v>-0.5</v>
      </c>
      <c r="P739" s="11">
        <v>-9.8000000000000007</v>
      </c>
      <c r="Q739" s="11">
        <v>-18.399999999999999</v>
      </c>
      <c r="R739" s="10">
        <v>-1.6</v>
      </c>
      <c r="S739" s="12">
        <v>85</v>
      </c>
      <c r="T739" s="8" t="s">
        <v>1735</v>
      </c>
      <c r="U739" s="11">
        <v>-47</v>
      </c>
      <c r="V739" s="11">
        <v>-46</v>
      </c>
      <c r="W739" s="11">
        <v>-45</v>
      </c>
      <c r="X739" s="11">
        <v>-43</v>
      </c>
      <c r="Y739" s="11">
        <v>-26</v>
      </c>
      <c r="Z739" s="11">
        <v>-44</v>
      </c>
      <c r="AA739" s="11">
        <v>8.1999999999999993</v>
      </c>
      <c r="AB739" s="11">
        <v>188</v>
      </c>
      <c r="AC739" s="11">
        <v>-12.7</v>
      </c>
      <c r="AD739" s="11">
        <v>249</v>
      </c>
      <c r="AE739" s="11">
        <v>-8.6</v>
      </c>
      <c r="AF739" s="11">
        <v>266</v>
      </c>
      <c r="AG739" s="11">
        <v>-7.5</v>
      </c>
      <c r="AH739" s="11">
        <v>81</v>
      </c>
      <c r="AI739" s="11">
        <v>78</v>
      </c>
      <c r="AJ739" s="11">
        <v>95</v>
      </c>
      <c r="AK739" s="11" t="s">
        <v>27</v>
      </c>
      <c r="AL739" s="11">
        <v>3.4</v>
      </c>
      <c r="AM739" s="10">
        <v>2.1</v>
      </c>
      <c r="AN739" s="9">
        <v>85</v>
      </c>
      <c r="AO739" s="8" t="s">
        <v>1734</v>
      </c>
      <c r="AP739" s="8">
        <v>970</v>
      </c>
      <c r="AQ739" s="8">
        <v>21.1</v>
      </c>
      <c r="AR739" s="8">
        <v>25.3</v>
      </c>
      <c r="AS739" s="8">
        <v>23.5</v>
      </c>
      <c r="AT739" s="8">
        <v>33</v>
      </c>
      <c r="AU739" s="8">
        <v>10.6</v>
      </c>
      <c r="AV739" s="8">
        <v>72</v>
      </c>
      <c r="AW739" s="8">
        <v>56</v>
      </c>
      <c r="AX739" s="8">
        <v>311</v>
      </c>
      <c r="AY739" s="8">
        <v>102</v>
      </c>
      <c r="AZ739" s="8" t="s">
        <v>54</v>
      </c>
      <c r="BA739" s="7">
        <v>0</v>
      </c>
      <c r="BB739" s="9">
        <v>69</v>
      </c>
      <c r="BC739" s="8" t="s">
        <v>1733</v>
      </c>
      <c r="BD739" s="8">
        <v>1.1000000000000001</v>
      </c>
      <c r="BE739" s="8">
        <v>1.2</v>
      </c>
      <c r="BF739" s="8">
        <v>2.1</v>
      </c>
      <c r="BG739" s="8">
        <v>3.6</v>
      </c>
      <c r="BH739" s="8">
        <v>5.5</v>
      </c>
      <c r="BI739" s="8">
        <v>9.9</v>
      </c>
      <c r="BJ739" s="8">
        <v>14.2</v>
      </c>
      <c r="BK739" s="8">
        <v>12.6</v>
      </c>
      <c r="BL739" s="8">
        <v>8.1999999999999993</v>
      </c>
      <c r="BM739" s="8">
        <v>4.4000000000000004</v>
      </c>
      <c r="BN739" s="8">
        <v>2.6</v>
      </c>
      <c r="BO739" s="8">
        <v>1.4</v>
      </c>
      <c r="BP739" s="7">
        <v>5.6</v>
      </c>
    </row>
    <row r="740" spans="1:68" ht="14.25" customHeight="1">
      <c r="A740" s="12">
        <v>83</v>
      </c>
      <c r="B740" s="14">
        <v>469</v>
      </c>
      <c r="C740" s="13" t="s">
        <v>774</v>
      </c>
      <c r="D740" s="13" t="s">
        <v>1732</v>
      </c>
      <c r="E740" s="13" t="s">
        <v>1731</v>
      </c>
      <c r="F740" s="11">
        <v>-4.5</v>
      </c>
      <c r="G740" s="11">
        <v>-3.5</v>
      </c>
      <c r="H740" s="11">
        <v>0.7</v>
      </c>
      <c r="I740" s="11">
        <v>7.3</v>
      </c>
      <c r="J740" s="11">
        <v>13.6</v>
      </c>
      <c r="K740" s="11">
        <v>16.7</v>
      </c>
      <c r="L740" s="11">
        <v>18.399999999999999</v>
      </c>
      <c r="M740" s="11">
        <v>17.399999999999999</v>
      </c>
      <c r="N740" s="11">
        <v>13.3</v>
      </c>
      <c r="O740" s="11">
        <v>7.7</v>
      </c>
      <c r="P740" s="11">
        <v>2.6</v>
      </c>
      <c r="Q740" s="11">
        <v>-1.8</v>
      </c>
      <c r="R740" s="10">
        <v>7.3</v>
      </c>
      <c r="S740" s="12">
        <v>469</v>
      </c>
      <c r="T740" s="8" t="s">
        <v>1729</v>
      </c>
      <c r="U740" s="11">
        <v>-30</v>
      </c>
      <c r="V740" s="11">
        <v>-25</v>
      </c>
      <c r="W740" s="11">
        <v>-24</v>
      </c>
      <c r="X740" s="11">
        <v>-21</v>
      </c>
      <c r="Y740" s="11">
        <v>-7</v>
      </c>
      <c r="Z740" s="11">
        <v>-36</v>
      </c>
      <c r="AA740" s="11">
        <v>5.5</v>
      </c>
      <c r="AB740" s="11">
        <v>100</v>
      </c>
      <c r="AC740" s="11">
        <v>-3.1</v>
      </c>
      <c r="AD740" s="11">
        <v>186</v>
      </c>
      <c r="AE740" s="11">
        <v>0.1</v>
      </c>
      <c r="AF740" s="11">
        <v>206</v>
      </c>
      <c r="AG740" s="11">
        <v>1</v>
      </c>
      <c r="AH740" s="11">
        <v>85</v>
      </c>
      <c r="AI740" s="11">
        <v>80</v>
      </c>
      <c r="AJ740" s="11">
        <v>185</v>
      </c>
      <c r="AK740" s="11" t="s">
        <v>39</v>
      </c>
      <c r="AL740" s="11">
        <v>3.7</v>
      </c>
      <c r="AM740" s="10">
        <v>3.4</v>
      </c>
      <c r="AN740" s="9">
        <v>469</v>
      </c>
      <c r="AO740" s="8" t="s">
        <v>1730</v>
      </c>
      <c r="AP740" s="8">
        <v>1000</v>
      </c>
      <c r="AQ740" s="8">
        <v>22.5</v>
      </c>
      <c r="AR740" s="8">
        <v>27</v>
      </c>
      <c r="AS740" s="8">
        <v>24</v>
      </c>
      <c r="AT740" s="8">
        <v>37</v>
      </c>
      <c r="AU740" s="8">
        <v>10.8</v>
      </c>
      <c r="AV740" s="8">
        <v>70</v>
      </c>
      <c r="AW740" s="8">
        <v>56</v>
      </c>
      <c r="AX740" s="8">
        <v>423</v>
      </c>
      <c r="AY740" s="8">
        <v>86</v>
      </c>
      <c r="AZ740" s="8" t="s">
        <v>43</v>
      </c>
      <c r="BA740" s="7">
        <v>2.9</v>
      </c>
      <c r="BB740" s="9"/>
      <c r="BC740" s="8" t="s">
        <v>1729</v>
      </c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7"/>
    </row>
    <row r="741" spans="1:68" ht="14.25" customHeight="1">
      <c r="A741" s="12">
        <v>84</v>
      </c>
      <c r="B741" s="14">
        <v>202</v>
      </c>
      <c r="C741" s="13" t="s">
        <v>30</v>
      </c>
      <c r="D741" s="13" t="s">
        <v>537</v>
      </c>
      <c r="E741" s="13" t="s">
        <v>1726</v>
      </c>
      <c r="F741" s="11">
        <v>-19.600000000000001</v>
      </c>
      <c r="G741" s="11">
        <v>-19.2</v>
      </c>
      <c r="H741" s="11">
        <v>-16.7</v>
      </c>
      <c r="I741" s="11">
        <v>-8.6999999999999993</v>
      </c>
      <c r="J741" s="11">
        <v>-0.5</v>
      </c>
      <c r="K741" s="11">
        <v>5.8</v>
      </c>
      <c r="L741" s="11">
        <v>11.9</v>
      </c>
      <c r="M741" s="11">
        <v>12.2</v>
      </c>
      <c r="N741" s="11">
        <v>7.8</v>
      </c>
      <c r="O741" s="11">
        <v>-1.1000000000000001</v>
      </c>
      <c r="P741" s="11">
        <v>-10.7</v>
      </c>
      <c r="Q741" s="11">
        <v>-15.8</v>
      </c>
      <c r="R741" s="10">
        <v>-4.5999999999999996</v>
      </c>
      <c r="S741" s="12">
        <v>202</v>
      </c>
      <c r="T741" s="8" t="s">
        <v>1728</v>
      </c>
      <c r="U741" s="11">
        <v>-41</v>
      </c>
      <c r="V741" s="11">
        <v>-38</v>
      </c>
      <c r="W741" s="11">
        <v>-38</v>
      </c>
      <c r="X741" s="11">
        <v>-36</v>
      </c>
      <c r="Y741" s="11">
        <v>-25</v>
      </c>
      <c r="Z741" s="11">
        <v>-46</v>
      </c>
      <c r="AA741" s="11">
        <v>7.8</v>
      </c>
      <c r="AB741" s="11">
        <v>218</v>
      </c>
      <c r="AC741" s="11">
        <v>-12.7</v>
      </c>
      <c r="AD741" s="11">
        <v>285</v>
      </c>
      <c r="AE741" s="11">
        <v>-8.6999999999999993</v>
      </c>
      <c r="AF741" s="11">
        <v>309</v>
      </c>
      <c r="AG741" s="11">
        <v>-7.4</v>
      </c>
      <c r="AH741" s="11">
        <v>77</v>
      </c>
      <c r="AI741" s="11">
        <v>74</v>
      </c>
      <c r="AJ741" s="11">
        <v>211</v>
      </c>
      <c r="AK741" s="11" t="s">
        <v>75</v>
      </c>
      <c r="AL741" s="11">
        <v>11.7</v>
      </c>
      <c r="AM741" s="10">
        <v>5.6</v>
      </c>
      <c r="AN741" s="9">
        <v>202</v>
      </c>
      <c r="AO741" s="8" t="s">
        <v>1727</v>
      </c>
      <c r="AP741" s="8">
        <v>1010</v>
      </c>
      <c r="AQ741" s="8">
        <v>13.3</v>
      </c>
      <c r="AR741" s="8">
        <v>17.899999999999999</v>
      </c>
      <c r="AS741" s="8">
        <v>15.7</v>
      </c>
      <c r="AT741" s="8">
        <v>29</v>
      </c>
      <c r="AU741" s="8">
        <v>6.7</v>
      </c>
      <c r="AV741" s="8">
        <v>84</v>
      </c>
      <c r="AW741" s="8">
        <v>77</v>
      </c>
      <c r="AX741" s="8">
        <v>334</v>
      </c>
      <c r="AY741" s="8">
        <v>59</v>
      </c>
      <c r="AZ741" s="8" t="s">
        <v>82</v>
      </c>
      <c r="BA741" s="7">
        <v>0</v>
      </c>
      <c r="BB741" s="9">
        <v>176</v>
      </c>
      <c r="BC741" s="8" t="s">
        <v>1726</v>
      </c>
      <c r="BD741" s="8">
        <v>1.3</v>
      </c>
      <c r="BE741" s="8">
        <v>1.3</v>
      </c>
      <c r="BF741" s="8">
        <v>1.6</v>
      </c>
      <c r="BG741" s="8">
        <v>2.9</v>
      </c>
      <c r="BH741" s="8">
        <v>5.2</v>
      </c>
      <c r="BI741" s="8">
        <v>8</v>
      </c>
      <c r="BJ741" s="8">
        <v>11.6</v>
      </c>
      <c r="BK741" s="8">
        <v>11.9</v>
      </c>
      <c r="BL741" s="8">
        <v>8.6999999999999993</v>
      </c>
      <c r="BM741" s="8">
        <v>4.5999999999999996</v>
      </c>
      <c r="BN741" s="8">
        <v>2.4</v>
      </c>
      <c r="BO741" s="8">
        <v>1.8</v>
      </c>
      <c r="BP741" s="7">
        <v>5.0999999999999996</v>
      </c>
    </row>
    <row r="742" spans="1:68" ht="14.25" customHeight="1">
      <c r="A742" s="12">
        <v>85</v>
      </c>
      <c r="B742" s="14">
        <v>53</v>
      </c>
      <c r="C742" s="13" t="s">
        <v>30</v>
      </c>
      <c r="D742" s="13" t="s">
        <v>1725</v>
      </c>
      <c r="E742" s="13" t="s">
        <v>1722</v>
      </c>
      <c r="F742" s="11">
        <v>-9.1</v>
      </c>
      <c r="G742" s="11">
        <v>-8.4</v>
      </c>
      <c r="H742" s="11">
        <v>-3.2</v>
      </c>
      <c r="I742" s="11">
        <v>5.9</v>
      </c>
      <c r="J742" s="11">
        <v>12.8</v>
      </c>
      <c r="K742" s="11">
        <v>16.7</v>
      </c>
      <c r="L742" s="11">
        <v>18.100000000000001</v>
      </c>
      <c r="M742" s="11">
        <v>16.899999999999999</v>
      </c>
      <c r="N742" s="11">
        <v>11.5</v>
      </c>
      <c r="O742" s="11">
        <v>5</v>
      </c>
      <c r="P742" s="11">
        <v>-0.4</v>
      </c>
      <c r="Q742" s="11">
        <v>-5.2</v>
      </c>
      <c r="R742" s="10">
        <v>5.0999999999999996</v>
      </c>
      <c r="S742" s="12">
        <v>53</v>
      </c>
      <c r="T742" s="8" t="s">
        <v>1724</v>
      </c>
      <c r="U742" s="11">
        <v>-34</v>
      </c>
      <c r="V742" s="11">
        <v>-30</v>
      </c>
      <c r="W742" s="11">
        <v>-30</v>
      </c>
      <c r="X742" s="11">
        <v>-26</v>
      </c>
      <c r="Y742" s="11">
        <v>-14</v>
      </c>
      <c r="Z742" s="11">
        <v>-42</v>
      </c>
      <c r="AA742" s="11">
        <v>6.6</v>
      </c>
      <c r="AB742" s="11">
        <v>134</v>
      </c>
      <c r="AC742" s="11">
        <v>-5.6</v>
      </c>
      <c r="AD742" s="11">
        <v>205</v>
      </c>
      <c r="AE742" s="11">
        <v>-2.2999999999999998</v>
      </c>
      <c r="AF742" s="11">
        <v>223</v>
      </c>
      <c r="AG742" s="11">
        <v>-1.4</v>
      </c>
      <c r="AH742" s="11">
        <v>85</v>
      </c>
      <c r="AI742" s="11">
        <v>84</v>
      </c>
      <c r="AJ742" s="11">
        <v>177</v>
      </c>
      <c r="AK742" s="11" t="s">
        <v>27</v>
      </c>
      <c r="AL742" s="11">
        <v>6.3</v>
      </c>
      <c r="AM742" s="10">
        <v>4.7</v>
      </c>
      <c r="AN742" s="9">
        <v>53</v>
      </c>
      <c r="AO742" s="8" t="s">
        <v>1723</v>
      </c>
      <c r="AP742" s="8">
        <v>990</v>
      </c>
      <c r="AQ742" s="8">
        <v>20.399999999999999</v>
      </c>
      <c r="AR742" s="8">
        <v>24.7</v>
      </c>
      <c r="AS742" s="8">
        <v>22.8</v>
      </c>
      <c r="AT742" s="8">
        <v>38</v>
      </c>
      <c r="AU742" s="8">
        <v>9.6999999999999993</v>
      </c>
      <c r="AV742" s="8">
        <v>73</v>
      </c>
      <c r="AW742" s="8">
        <v>53</v>
      </c>
      <c r="AX742" s="8">
        <v>420</v>
      </c>
      <c r="AY742" s="8" t="s">
        <v>64</v>
      </c>
      <c r="AZ742" s="8" t="s">
        <v>54</v>
      </c>
      <c r="BA742" s="7">
        <v>0</v>
      </c>
      <c r="BB742" s="9">
        <v>39</v>
      </c>
      <c r="BC742" s="8" t="s">
        <v>1722</v>
      </c>
      <c r="BD742" s="8">
        <v>3.1</v>
      </c>
      <c r="BE742" s="8">
        <v>3.2</v>
      </c>
      <c r="BF742" s="8">
        <v>4.0999999999999996</v>
      </c>
      <c r="BG742" s="8">
        <v>6.8</v>
      </c>
      <c r="BH742" s="8">
        <v>9.6</v>
      </c>
      <c r="BI742" s="8">
        <v>12.9</v>
      </c>
      <c r="BJ742" s="8">
        <v>15</v>
      </c>
      <c r="BK742" s="8">
        <v>14.3</v>
      </c>
      <c r="BL742" s="8">
        <v>10.7</v>
      </c>
      <c r="BM742" s="8">
        <v>7.5</v>
      </c>
      <c r="BN742" s="8">
        <v>5.4</v>
      </c>
      <c r="BO742" s="8">
        <v>4</v>
      </c>
      <c r="BP742" s="7">
        <v>8.1</v>
      </c>
    </row>
    <row r="743" spans="1:68" ht="14.25" customHeight="1">
      <c r="A743" s="12">
        <v>86</v>
      </c>
      <c r="B743" s="14">
        <v>311</v>
      </c>
      <c r="C743" s="13" t="s">
        <v>30</v>
      </c>
      <c r="D743" s="13" t="s">
        <v>1369</v>
      </c>
      <c r="E743" s="13" t="s">
        <v>1719</v>
      </c>
      <c r="F743" s="11">
        <v>-14.3</v>
      </c>
      <c r="G743" s="11">
        <v>-13.7</v>
      </c>
      <c r="H743" s="11">
        <v>-8</v>
      </c>
      <c r="I743" s="11">
        <v>2.4</v>
      </c>
      <c r="J743" s="11">
        <v>11.4</v>
      </c>
      <c r="K743" s="11">
        <v>16.3</v>
      </c>
      <c r="L743" s="11">
        <v>18.100000000000001</v>
      </c>
      <c r="M743" s="11">
        <v>16.399999999999999</v>
      </c>
      <c r="N743" s="11">
        <v>10.199999999999999</v>
      </c>
      <c r="O743" s="11">
        <v>2.1</v>
      </c>
      <c r="P743" s="11">
        <v>-5.8</v>
      </c>
      <c r="Q743" s="11">
        <v>-11.6</v>
      </c>
      <c r="R743" s="10">
        <v>2</v>
      </c>
      <c r="S743" s="12">
        <v>311</v>
      </c>
      <c r="T743" s="8" t="s">
        <v>1721</v>
      </c>
      <c r="U743" s="11">
        <v>-40</v>
      </c>
      <c r="V743" s="11">
        <v>-36</v>
      </c>
      <c r="W743" s="11">
        <v>-36</v>
      </c>
      <c r="X743" s="11">
        <v>-33</v>
      </c>
      <c r="Y743" s="11">
        <v>-19</v>
      </c>
      <c r="Z743" s="11">
        <v>-47</v>
      </c>
      <c r="AA743" s="11">
        <v>6.7</v>
      </c>
      <c r="AB743" s="11">
        <v>164</v>
      </c>
      <c r="AC743" s="11">
        <v>-9.1999999999999993</v>
      </c>
      <c r="AD743" s="11">
        <v>221</v>
      </c>
      <c r="AE743" s="11">
        <v>-5.8</v>
      </c>
      <c r="AF743" s="11">
        <v>235</v>
      </c>
      <c r="AG743" s="11">
        <v>-4.9000000000000004</v>
      </c>
      <c r="AH743" s="11">
        <v>86</v>
      </c>
      <c r="AI743" s="11">
        <v>85</v>
      </c>
      <c r="AJ743" s="11">
        <v>264</v>
      </c>
      <c r="AK743" s="11" t="s">
        <v>39</v>
      </c>
      <c r="AL743" s="11">
        <v>7.5</v>
      </c>
      <c r="AM743" s="10">
        <v>5.4</v>
      </c>
      <c r="AN743" s="9">
        <v>311</v>
      </c>
      <c r="AO743" s="8" t="s">
        <v>1720</v>
      </c>
      <c r="AP743" s="8">
        <v>975</v>
      </c>
      <c r="AQ743" s="8">
        <v>21.5</v>
      </c>
      <c r="AR743" s="8">
        <v>25.7</v>
      </c>
      <c r="AS743" s="8">
        <v>23.9</v>
      </c>
      <c r="AT743" s="8">
        <v>38</v>
      </c>
      <c r="AU743" s="8">
        <v>11.1</v>
      </c>
      <c r="AV743" s="8">
        <v>69</v>
      </c>
      <c r="AW743" s="8">
        <v>55</v>
      </c>
      <c r="AX743" s="8">
        <v>289</v>
      </c>
      <c r="AY743" s="8" t="s">
        <v>64</v>
      </c>
      <c r="AZ743" s="8" t="s">
        <v>54</v>
      </c>
      <c r="BA743" s="7">
        <v>0</v>
      </c>
      <c r="BB743" s="9"/>
      <c r="BC743" s="8" t="s">
        <v>1719</v>
      </c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7"/>
    </row>
    <row r="744" spans="1:68" ht="14.25" customHeight="1">
      <c r="A744" s="12">
        <v>87</v>
      </c>
      <c r="B744" s="14">
        <v>583</v>
      </c>
      <c r="C744" s="13" t="s">
        <v>117</v>
      </c>
      <c r="D744" s="13" t="s">
        <v>1718</v>
      </c>
      <c r="E744" s="13" t="s">
        <v>1717</v>
      </c>
      <c r="F744" s="11">
        <v>0.4</v>
      </c>
      <c r="G744" s="11">
        <v>2.7</v>
      </c>
      <c r="H744" s="11">
        <v>8.4</v>
      </c>
      <c r="I744" s="11">
        <v>16.5</v>
      </c>
      <c r="J744" s="11">
        <v>22.3</v>
      </c>
      <c r="K744" s="11">
        <v>26.7</v>
      </c>
      <c r="L744" s="11">
        <v>28.4</v>
      </c>
      <c r="M744" s="11">
        <v>25.7</v>
      </c>
      <c r="N744" s="11">
        <v>20.100000000000001</v>
      </c>
      <c r="O744" s="11">
        <v>13.1</v>
      </c>
      <c r="P744" s="11">
        <v>6.7</v>
      </c>
      <c r="Q744" s="11">
        <v>2.2999999999999998</v>
      </c>
      <c r="R744" s="10">
        <v>14.4</v>
      </c>
      <c r="S744" s="12">
        <v>572</v>
      </c>
      <c r="T744" s="8" t="s">
        <v>1715</v>
      </c>
      <c r="U744" s="11">
        <v>-19</v>
      </c>
      <c r="V744" s="11">
        <v>-16</v>
      </c>
      <c r="W744" s="11">
        <v>-15</v>
      </c>
      <c r="X744" s="11" t="s">
        <v>64</v>
      </c>
      <c r="Y744" s="11">
        <v>-3</v>
      </c>
      <c r="Z744" s="11">
        <v>-25</v>
      </c>
      <c r="AA744" s="11">
        <v>10.1</v>
      </c>
      <c r="AB744" s="11">
        <v>0</v>
      </c>
      <c r="AC744" s="11" t="s">
        <v>50</v>
      </c>
      <c r="AD744" s="11">
        <v>126</v>
      </c>
      <c r="AE744" s="11">
        <v>3.1</v>
      </c>
      <c r="AF744" s="11" t="s">
        <v>114</v>
      </c>
      <c r="AG744" s="11" t="s">
        <v>44</v>
      </c>
      <c r="AH744" s="11" t="s">
        <v>49</v>
      </c>
      <c r="AI744" s="11" t="s">
        <v>49</v>
      </c>
      <c r="AJ744" s="11" t="s">
        <v>84</v>
      </c>
      <c r="AK744" s="11" t="s">
        <v>44</v>
      </c>
      <c r="AL744" s="11">
        <v>4.5</v>
      </c>
      <c r="AM744" s="10" t="s">
        <v>44</v>
      </c>
      <c r="AN744" s="9">
        <v>573</v>
      </c>
      <c r="AO744" s="8" t="s">
        <v>1716</v>
      </c>
      <c r="AP744" s="8">
        <v>990</v>
      </c>
      <c r="AQ744" s="8">
        <v>34.1</v>
      </c>
      <c r="AR744" s="8">
        <v>38.4</v>
      </c>
      <c r="AS744" s="8">
        <v>36.700000000000003</v>
      </c>
      <c r="AT744" s="8">
        <v>46</v>
      </c>
      <c r="AU744" s="8">
        <v>16.399999999999999</v>
      </c>
      <c r="AV744" s="8" t="s">
        <v>45</v>
      </c>
      <c r="AW744" s="8" t="s">
        <v>44</v>
      </c>
      <c r="AX744" s="8" t="s">
        <v>44</v>
      </c>
      <c r="AY744" s="8">
        <v>35</v>
      </c>
      <c r="AZ744" s="8" t="s">
        <v>114</v>
      </c>
      <c r="BA744" s="7">
        <v>0</v>
      </c>
      <c r="BB744" s="9"/>
      <c r="BC744" s="8" t="s">
        <v>1715</v>
      </c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7"/>
    </row>
    <row r="745" spans="1:68" ht="14.25" customHeight="1">
      <c r="A745" s="12">
        <v>88</v>
      </c>
      <c r="B745" s="14">
        <v>405</v>
      </c>
      <c r="C745" s="13" t="s">
        <v>30</v>
      </c>
      <c r="D745" s="13" t="s">
        <v>57</v>
      </c>
      <c r="E745" s="13" t="s">
        <v>1714</v>
      </c>
      <c r="F745" s="11">
        <v>-37.6</v>
      </c>
      <c r="G745" s="11">
        <v>-33.6</v>
      </c>
      <c r="H745" s="11">
        <v>-21.6</v>
      </c>
      <c r="I745" s="11">
        <v>-6.9</v>
      </c>
      <c r="J745" s="11">
        <v>5.0999999999999996</v>
      </c>
      <c r="K745" s="11">
        <v>13.2</v>
      </c>
      <c r="L745" s="11">
        <v>16.5</v>
      </c>
      <c r="M745" s="11">
        <v>13</v>
      </c>
      <c r="N745" s="11">
        <v>4.7</v>
      </c>
      <c r="O745" s="11">
        <v>-7.5</v>
      </c>
      <c r="P745" s="11">
        <v>-26</v>
      </c>
      <c r="Q745" s="11">
        <v>-36.4</v>
      </c>
      <c r="R745" s="10">
        <v>-9.8000000000000007</v>
      </c>
      <c r="S745" s="12">
        <v>405</v>
      </c>
      <c r="T745" s="8" t="s">
        <v>1712</v>
      </c>
      <c r="U745" s="11">
        <v>-57</v>
      </c>
      <c r="V745" s="11">
        <v>-55</v>
      </c>
      <c r="W745" s="11">
        <v>-55</v>
      </c>
      <c r="X745" s="11">
        <v>-52</v>
      </c>
      <c r="Y745" s="11">
        <v>-43</v>
      </c>
      <c r="Z745" s="11">
        <v>-61</v>
      </c>
      <c r="AA745" s="11">
        <v>12.3</v>
      </c>
      <c r="AB745" s="11">
        <v>218</v>
      </c>
      <c r="AC745" s="11">
        <v>-23.1</v>
      </c>
      <c r="AD745" s="11">
        <v>266</v>
      </c>
      <c r="AE745" s="11">
        <v>-18.2</v>
      </c>
      <c r="AF745" s="11">
        <v>280</v>
      </c>
      <c r="AG745" s="11">
        <v>-16.7</v>
      </c>
      <c r="AH745" s="11">
        <v>74</v>
      </c>
      <c r="AI745" s="11">
        <v>72</v>
      </c>
      <c r="AJ745" s="11">
        <v>56</v>
      </c>
      <c r="AK745" s="11" t="s">
        <v>44</v>
      </c>
      <c r="AL745" s="11" t="s">
        <v>44</v>
      </c>
      <c r="AM745" s="10">
        <v>0.9</v>
      </c>
      <c r="AN745" s="9">
        <v>405</v>
      </c>
      <c r="AO745" s="8" t="s">
        <v>1713</v>
      </c>
      <c r="AP745" s="8">
        <v>975</v>
      </c>
      <c r="AQ745" s="8">
        <v>22.7</v>
      </c>
      <c r="AR745" s="8">
        <v>26.8</v>
      </c>
      <c r="AS745" s="8">
        <v>25.1</v>
      </c>
      <c r="AT745" s="8">
        <v>38</v>
      </c>
      <c r="AU745" s="8">
        <v>16.899999999999999</v>
      </c>
      <c r="AV745" s="8">
        <v>72</v>
      </c>
      <c r="AW745" s="8">
        <v>50</v>
      </c>
      <c r="AX745" s="8">
        <v>255</v>
      </c>
      <c r="AY745" s="8">
        <v>34</v>
      </c>
      <c r="AZ745" s="8" t="s">
        <v>114</v>
      </c>
      <c r="BA745" s="7" t="s">
        <v>46</v>
      </c>
      <c r="BB745" s="9">
        <v>369</v>
      </c>
      <c r="BC745" s="8" t="s">
        <v>1712</v>
      </c>
      <c r="BD745" s="8">
        <v>0.3</v>
      </c>
      <c r="BE745" s="8">
        <v>0.4</v>
      </c>
      <c r="BF745" s="8">
        <v>1</v>
      </c>
      <c r="BG745" s="8">
        <v>2.5</v>
      </c>
      <c r="BH745" s="8">
        <v>5.0999999999999996</v>
      </c>
      <c r="BI745" s="8">
        <v>9.6</v>
      </c>
      <c r="BJ745" s="8">
        <v>13</v>
      </c>
      <c r="BK745" s="8">
        <v>11.5</v>
      </c>
      <c r="BL745" s="8">
        <v>6.7</v>
      </c>
      <c r="BM745" s="8">
        <v>3.1</v>
      </c>
      <c r="BN745" s="8">
        <v>0.8</v>
      </c>
      <c r="BO745" s="8">
        <v>0.3</v>
      </c>
      <c r="BP745" s="7">
        <v>4.5</v>
      </c>
    </row>
    <row r="746" spans="1:68" ht="14.25" customHeight="1">
      <c r="A746" s="12">
        <v>89</v>
      </c>
      <c r="B746" s="14">
        <v>19</v>
      </c>
      <c r="C746" s="13" t="s">
        <v>30</v>
      </c>
      <c r="D746" s="13" t="s">
        <v>99</v>
      </c>
      <c r="E746" s="13" t="s">
        <v>1709</v>
      </c>
      <c r="F746" s="11">
        <v>-30.7</v>
      </c>
      <c r="G746" s="11">
        <v>-24.3</v>
      </c>
      <c r="H746" s="11">
        <v>-12.8</v>
      </c>
      <c r="I746" s="11">
        <v>-0.4</v>
      </c>
      <c r="J746" s="11">
        <v>8.8000000000000007</v>
      </c>
      <c r="K746" s="11">
        <v>15.2</v>
      </c>
      <c r="L746" s="11">
        <v>18.7</v>
      </c>
      <c r="M746" s="11">
        <v>16.2</v>
      </c>
      <c r="N746" s="11">
        <v>9.1</v>
      </c>
      <c r="O746" s="11">
        <v>-1</v>
      </c>
      <c r="P746" s="11">
        <v>-16.8</v>
      </c>
      <c r="Q746" s="11">
        <v>-28.1</v>
      </c>
      <c r="R746" s="10">
        <v>-3.8</v>
      </c>
      <c r="S746" s="12">
        <v>19</v>
      </c>
      <c r="T746" s="8" t="s">
        <v>1711</v>
      </c>
      <c r="U746" s="11">
        <v>-44</v>
      </c>
      <c r="V746" s="11">
        <v>-43</v>
      </c>
      <c r="W746" s="11">
        <v>-42</v>
      </c>
      <c r="X746" s="11">
        <v>-41</v>
      </c>
      <c r="Y746" s="11">
        <v>-36</v>
      </c>
      <c r="Z746" s="11">
        <v>-51</v>
      </c>
      <c r="AA746" s="11">
        <v>14.8</v>
      </c>
      <c r="AB746" s="11">
        <v>186</v>
      </c>
      <c r="AC746" s="11">
        <v>-18.399999999999999</v>
      </c>
      <c r="AD746" s="11">
        <v>236</v>
      </c>
      <c r="AE746" s="11">
        <v>-13.6</v>
      </c>
      <c r="AF746" s="11">
        <v>252</v>
      </c>
      <c r="AG746" s="11">
        <v>-12.2</v>
      </c>
      <c r="AH746" s="11">
        <v>76</v>
      </c>
      <c r="AI746" s="11">
        <v>69</v>
      </c>
      <c r="AJ746" s="11">
        <v>71</v>
      </c>
      <c r="AK746" s="11" t="s">
        <v>27</v>
      </c>
      <c r="AL746" s="11">
        <v>1.3</v>
      </c>
      <c r="AM746" s="10" t="s">
        <v>44</v>
      </c>
      <c r="AN746" s="9">
        <v>19</v>
      </c>
      <c r="AO746" s="8" t="s">
        <v>1710</v>
      </c>
      <c r="AP746" s="8">
        <v>970</v>
      </c>
      <c r="AQ746" s="8">
        <v>23.5</v>
      </c>
      <c r="AR746" s="8">
        <v>27.6</v>
      </c>
      <c r="AS746" s="8">
        <v>25.9</v>
      </c>
      <c r="AT746" s="8">
        <v>35</v>
      </c>
      <c r="AU746" s="8">
        <v>14.1</v>
      </c>
      <c r="AV746" s="8">
        <v>80</v>
      </c>
      <c r="AW746" s="8">
        <v>60</v>
      </c>
      <c r="AX746" s="8">
        <v>636</v>
      </c>
      <c r="AY746" s="8">
        <v>106</v>
      </c>
      <c r="AZ746" s="8" t="s">
        <v>32</v>
      </c>
      <c r="BA746" s="7">
        <v>0</v>
      </c>
      <c r="BB746" s="9">
        <v>16</v>
      </c>
      <c r="BC746" s="8" t="s">
        <v>1709</v>
      </c>
      <c r="BD746" s="8">
        <v>0.4</v>
      </c>
      <c r="BE746" s="8">
        <v>0.7</v>
      </c>
      <c r="BF746" s="8">
        <v>1.6</v>
      </c>
      <c r="BG746" s="8">
        <v>3.6</v>
      </c>
      <c r="BH746" s="8">
        <v>6.5</v>
      </c>
      <c r="BI746" s="8">
        <v>12.3</v>
      </c>
      <c r="BJ746" s="8">
        <v>17</v>
      </c>
      <c r="BK746" s="8">
        <v>15.2</v>
      </c>
      <c r="BL746" s="8">
        <v>9.1</v>
      </c>
      <c r="BM746" s="8">
        <v>4.0999999999999996</v>
      </c>
      <c r="BN746" s="8">
        <v>1.6</v>
      </c>
      <c r="BO746" s="8">
        <v>0.6</v>
      </c>
      <c r="BP746" s="7">
        <v>6.1</v>
      </c>
    </row>
    <row r="747" spans="1:68" ht="14.25" customHeight="1">
      <c r="A747" s="12">
        <v>90</v>
      </c>
      <c r="B747" s="14">
        <v>213</v>
      </c>
      <c r="C747" s="13" t="s">
        <v>30</v>
      </c>
      <c r="D747" s="13" t="s">
        <v>61</v>
      </c>
      <c r="E747" s="13" t="s">
        <v>1706</v>
      </c>
      <c r="F747" s="11">
        <v>-5.6</v>
      </c>
      <c r="G747" s="11">
        <v>-6.4</v>
      </c>
      <c r="H747" s="11">
        <v>-4.8</v>
      </c>
      <c r="I747" s="11">
        <v>-1.7</v>
      </c>
      <c r="J747" s="11">
        <v>2.5</v>
      </c>
      <c r="K747" s="11">
        <v>7</v>
      </c>
      <c r="L747" s="11">
        <v>10.199999999999999</v>
      </c>
      <c r="M747" s="11">
        <v>10.1</v>
      </c>
      <c r="N747" s="11">
        <v>6.8</v>
      </c>
      <c r="O747" s="11">
        <v>2</v>
      </c>
      <c r="P747" s="11">
        <v>-1.5</v>
      </c>
      <c r="Q747" s="11">
        <v>-3.8</v>
      </c>
      <c r="R747" s="10">
        <v>1.2</v>
      </c>
      <c r="S747" s="12">
        <v>213</v>
      </c>
      <c r="T747" s="8" t="s">
        <v>1708</v>
      </c>
      <c r="U747" s="11">
        <v>-22</v>
      </c>
      <c r="V747" s="11">
        <v>-20</v>
      </c>
      <c r="W747" s="11">
        <v>-19</v>
      </c>
      <c r="X747" s="11">
        <v>-17</v>
      </c>
      <c r="Y747" s="11">
        <v>-11</v>
      </c>
      <c r="Z747" s="11">
        <v>-27</v>
      </c>
      <c r="AA747" s="11">
        <v>5.8</v>
      </c>
      <c r="AB747" s="11">
        <v>176</v>
      </c>
      <c r="AC747" s="11">
        <v>-3.9</v>
      </c>
      <c r="AD747" s="11">
        <v>294</v>
      </c>
      <c r="AE747" s="11">
        <v>-0.7</v>
      </c>
      <c r="AF747" s="11">
        <v>331</v>
      </c>
      <c r="AG747" s="11">
        <v>0.4</v>
      </c>
      <c r="AH747" s="11">
        <v>84</v>
      </c>
      <c r="AI747" s="11">
        <v>83</v>
      </c>
      <c r="AJ747" s="11">
        <v>217</v>
      </c>
      <c r="AK747" s="11" t="s">
        <v>39</v>
      </c>
      <c r="AL747" s="11" t="s">
        <v>44</v>
      </c>
      <c r="AM747" s="10">
        <v>6.9</v>
      </c>
      <c r="AN747" s="9">
        <v>213</v>
      </c>
      <c r="AO747" s="8" t="s">
        <v>1707</v>
      </c>
      <c r="AP747" s="8">
        <v>1010</v>
      </c>
      <c r="AQ747" s="8">
        <v>11.6</v>
      </c>
      <c r="AR747" s="8">
        <v>16.3</v>
      </c>
      <c r="AS747" s="8">
        <v>14</v>
      </c>
      <c r="AT747" s="8">
        <v>32</v>
      </c>
      <c r="AU747" s="8">
        <v>6.5</v>
      </c>
      <c r="AV747" s="8">
        <v>82</v>
      </c>
      <c r="AW747" s="8">
        <v>78</v>
      </c>
      <c r="AX747" s="8">
        <v>323</v>
      </c>
      <c r="AY747" s="8">
        <v>52</v>
      </c>
      <c r="AZ747" s="8" t="s">
        <v>63</v>
      </c>
      <c r="BA747" s="7" t="s">
        <v>46</v>
      </c>
      <c r="BB747" s="9">
        <v>188</v>
      </c>
      <c r="BC747" s="8" t="s">
        <v>1706</v>
      </c>
      <c r="BD747" s="8">
        <v>3.5</v>
      </c>
      <c r="BE747" s="8">
        <v>3.4</v>
      </c>
      <c r="BF747" s="8">
        <v>3.6</v>
      </c>
      <c r="BG747" s="8">
        <v>4.4000000000000004</v>
      </c>
      <c r="BH747" s="8">
        <v>5.7</v>
      </c>
      <c r="BI747" s="8">
        <v>7.9</v>
      </c>
      <c r="BJ747" s="8">
        <v>10.199999999999999</v>
      </c>
      <c r="BK747" s="8">
        <v>10.4</v>
      </c>
      <c r="BL747" s="8">
        <v>8.3000000000000007</v>
      </c>
      <c r="BM747" s="8">
        <v>6</v>
      </c>
      <c r="BN747" s="8">
        <v>4.5999999999999996</v>
      </c>
      <c r="BO747" s="8">
        <v>3.9</v>
      </c>
      <c r="BP747" s="7">
        <v>6.4</v>
      </c>
    </row>
    <row r="748" spans="1:68" ht="14.25" customHeight="1">
      <c r="A748" s="12">
        <v>91</v>
      </c>
      <c r="B748" s="14">
        <v>174</v>
      </c>
      <c r="C748" s="13" t="s">
        <v>30</v>
      </c>
      <c r="D748" s="13" t="s">
        <v>29</v>
      </c>
      <c r="E748" s="13" t="s">
        <v>1703</v>
      </c>
      <c r="F748" s="11">
        <v>-29.8</v>
      </c>
      <c r="G748" s="11">
        <v>-26.5</v>
      </c>
      <c r="H748" s="11">
        <v>-15.7</v>
      </c>
      <c r="I748" s="11">
        <v>-3.7</v>
      </c>
      <c r="J748" s="11">
        <v>5.0999999999999996</v>
      </c>
      <c r="K748" s="11">
        <v>14</v>
      </c>
      <c r="L748" s="11">
        <v>17.2</v>
      </c>
      <c r="M748" s="11">
        <v>13</v>
      </c>
      <c r="N748" s="11">
        <v>5.6</v>
      </c>
      <c r="O748" s="11">
        <v>-4.4000000000000004</v>
      </c>
      <c r="P748" s="11">
        <v>-19.899999999999999</v>
      </c>
      <c r="Q748" s="11">
        <v>-28.5</v>
      </c>
      <c r="R748" s="10">
        <v>-6.1</v>
      </c>
      <c r="S748" s="12">
        <v>174</v>
      </c>
      <c r="T748" s="8" t="s">
        <v>1705</v>
      </c>
      <c r="U748" s="11">
        <v>-57</v>
      </c>
      <c r="V748" s="11">
        <v>-55</v>
      </c>
      <c r="W748" s="11">
        <v>-52</v>
      </c>
      <c r="X748" s="11">
        <v>-51</v>
      </c>
      <c r="Y748" s="11">
        <v>-35</v>
      </c>
      <c r="Z748" s="11">
        <v>-61</v>
      </c>
      <c r="AA748" s="11">
        <v>14.3</v>
      </c>
      <c r="AB748" s="11">
        <v>208</v>
      </c>
      <c r="AC748" s="11">
        <v>-18.3</v>
      </c>
      <c r="AD748" s="11">
        <v>262</v>
      </c>
      <c r="AE748" s="11">
        <v>-13.7</v>
      </c>
      <c r="AF748" s="11">
        <v>277</v>
      </c>
      <c r="AG748" s="11">
        <v>-12.4</v>
      </c>
      <c r="AH748" s="11">
        <v>79</v>
      </c>
      <c r="AI748" s="11">
        <v>77</v>
      </c>
      <c r="AJ748" s="11">
        <v>107</v>
      </c>
      <c r="AK748" s="11" t="s">
        <v>39</v>
      </c>
      <c r="AL748" s="11">
        <v>3.3</v>
      </c>
      <c r="AM748" s="10">
        <v>1.8</v>
      </c>
      <c r="AN748" s="9">
        <v>174</v>
      </c>
      <c r="AO748" s="8" t="s">
        <v>1704</v>
      </c>
      <c r="AP748" s="8">
        <v>980</v>
      </c>
      <c r="AQ748" s="8">
        <v>21</v>
      </c>
      <c r="AR748" s="8">
        <v>26.3</v>
      </c>
      <c r="AS748" s="8">
        <v>24.7</v>
      </c>
      <c r="AT748" s="8">
        <v>35</v>
      </c>
      <c r="AU748" s="8">
        <v>15.6</v>
      </c>
      <c r="AV748" s="8">
        <v>70</v>
      </c>
      <c r="AW748" s="8">
        <v>50</v>
      </c>
      <c r="AX748" s="8">
        <v>317</v>
      </c>
      <c r="AY748" s="8">
        <v>64</v>
      </c>
      <c r="AZ748" s="8" t="s">
        <v>82</v>
      </c>
      <c r="BA748" s="7">
        <v>0</v>
      </c>
      <c r="BB748" s="9">
        <v>153</v>
      </c>
      <c r="BC748" s="8" t="s">
        <v>1703</v>
      </c>
      <c r="BD748" s="8">
        <v>0.7</v>
      </c>
      <c r="BE748" s="8">
        <v>0.8</v>
      </c>
      <c r="BF748" s="8">
        <v>1.5</v>
      </c>
      <c r="BG748" s="8">
        <v>3</v>
      </c>
      <c r="BH748" s="8">
        <v>5.3</v>
      </c>
      <c r="BI748" s="8">
        <v>9.8000000000000007</v>
      </c>
      <c r="BJ748" s="8">
        <v>13.4</v>
      </c>
      <c r="BK748" s="8">
        <v>11.5</v>
      </c>
      <c r="BL748" s="8">
        <v>7.3</v>
      </c>
      <c r="BM748" s="8">
        <v>3.9</v>
      </c>
      <c r="BN748" s="8">
        <v>1.5</v>
      </c>
      <c r="BO748" s="8">
        <v>0.8</v>
      </c>
      <c r="BP748" s="7">
        <v>5</v>
      </c>
    </row>
    <row r="749" spans="1:68" ht="14.25" customHeight="1">
      <c r="A749" s="12">
        <v>92</v>
      </c>
      <c r="B749" s="14">
        <v>459</v>
      </c>
      <c r="C749" s="13" t="s">
        <v>555</v>
      </c>
      <c r="D749" s="13" t="s">
        <v>555</v>
      </c>
      <c r="E749" s="13" t="s">
        <v>1702</v>
      </c>
      <c r="F749" s="11">
        <v>-3.7</v>
      </c>
      <c r="G749" s="11">
        <v>-2.2999999999999998</v>
      </c>
      <c r="H749" s="11">
        <v>1.4</v>
      </c>
      <c r="I749" s="11">
        <v>7.5</v>
      </c>
      <c r="J749" s="11">
        <v>12.1</v>
      </c>
      <c r="K749" s="11">
        <v>15</v>
      </c>
      <c r="L749" s="11">
        <v>17.600000000000001</v>
      </c>
      <c r="M749" s="11">
        <v>17.7</v>
      </c>
      <c r="N749" s="11">
        <v>14.2</v>
      </c>
      <c r="O749" s="11">
        <v>8.9</v>
      </c>
      <c r="P749" s="11">
        <v>3.9</v>
      </c>
      <c r="Q749" s="11">
        <v>-1.1000000000000001</v>
      </c>
      <c r="R749" s="10">
        <v>7.6</v>
      </c>
      <c r="S749" s="12">
        <v>459</v>
      </c>
      <c r="T749" s="8" t="s">
        <v>1700</v>
      </c>
      <c r="U749" s="11">
        <v>-20</v>
      </c>
      <c r="V749" s="11">
        <v>-17</v>
      </c>
      <c r="W749" s="11">
        <v>-16</v>
      </c>
      <c r="X749" s="11">
        <v>-15</v>
      </c>
      <c r="Y749" s="11" t="s">
        <v>49</v>
      </c>
      <c r="Z749" s="11">
        <v>-30</v>
      </c>
      <c r="AA749" s="11" t="s">
        <v>49</v>
      </c>
      <c r="AB749" s="11">
        <v>89</v>
      </c>
      <c r="AC749" s="11">
        <v>-2.5</v>
      </c>
      <c r="AD749" s="11">
        <v>180</v>
      </c>
      <c r="AE749" s="11">
        <v>0.7</v>
      </c>
      <c r="AF749" s="11">
        <v>202</v>
      </c>
      <c r="AG749" s="11">
        <v>1.6</v>
      </c>
      <c r="AH749" s="11">
        <v>69</v>
      </c>
      <c r="AI749" s="11">
        <v>52</v>
      </c>
      <c r="AJ749" s="11">
        <v>135</v>
      </c>
      <c r="AK749" s="11" t="s">
        <v>75</v>
      </c>
      <c r="AL749" s="11">
        <v>4.8</v>
      </c>
      <c r="AM749" s="10" t="s">
        <v>44</v>
      </c>
      <c r="AN749" s="9">
        <v>459</v>
      </c>
      <c r="AO749" s="8" t="s">
        <v>1701</v>
      </c>
      <c r="AP749" s="8">
        <v>865</v>
      </c>
      <c r="AQ749" s="8" t="s">
        <v>45</v>
      </c>
      <c r="AR749" s="8" t="s">
        <v>44</v>
      </c>
      <c r="AS749" s="8">
        <v>23.9</v>
      </c>
      <c r="AT749" s="8">
        <v>36</v>
      </c>
      <c r="AU749" s="8" t="s">
        <v>46</v>
      </c>
      <c r="AV749" s="8">
        <v>74</v>
      </c>
      <c r="AW749" s="8">
        <v>58</v>
      </c>
      <c r="AX749" s="8">
        <v>475</v>
      </c>
      <c r="AY749" s="8">
        <v>53</v>
      </c>
      <c r="AZ749" s="8" t="s">
        <v>151</v>
      </c>
      <c r="BA749" s="7">
        <v>0</v>
      </c>
      <c r="BB749" s="9"/>
      <c r="BC749" s="8" t="s">
        <v>1700</v>
      </c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7"/>
    </row>
    <row r="750" spans="1:68" ht="14.25" customHeight="1">
      <c r="A750" s="12">
        <v>93</v>
      </c>
      <c r="B750" s="14">
        <v>450</v>
      </c>
      <c r="C750" s="13" t="s">
        <v>30</v>
      </c>
      <c r="D750" s="13" t="s">
        <v>230</v>
      </c>
      <c r="E750" s="13" t="s">
        <v>1699</v>
      </c>
      <c r="F750" s="11">
        <v>-17.8</v>
      </c>
      <c r="G750" s="11">
        <v>-19.2</v>
      </c>
      <c r="H750" s="11">
        <v>-16.600000000000001</v>
      </c>
      <c r="I750" s="11">
        <v>-9.5</v>
      </c>
      <c r="J750" s="11">
        <v>-3.4</v>
      </c>
      <c r="K750" s="11">
        <v>2.8</v>
      </c>
      <c r="L750" s="11">
        <v>8.9</v>
      </c>
      <c r="M750" s="11">
        <v>8.8000000000000007</v>
      </c>
      <c r="N750" s="11">
        <v>4.9000000000000004</v>
      </c>
      <c r="O750" s="11">
        <v>-2.2000000000000002</v>
      </c>
      <c r="P750" s="11">
        <v>-9.5</v>
      </c>
      <c r="Q750" s="11">
        <v>-13.9</v>
      </c>
      <c r="R750" s="10">
        <v>-5.6</v>
      </c>
      <c r="S750" s="12">
        <v>450</v>
      </c>
      <c r="T750" s="8" t="s">
        <v>1697</v>
      </c>
      <c r="U750" s="11">
        <v>-40</v>
      </c>
      <c r="V750" s="11">
        <v>-39</v>
      </c>
      <c r="W750" s="11">
        <v>-37</v>
      </c>
      <c r="X750" s="11">
        <v>-36</v>
      </c>
      <c r="Y750" s="11">
        <v>-24</v>
      </c>
      <c r="Z750" s="11">
        <v>-44</v>
      </c>
      <c r="AA750" s="11">
        <v>8.8000000000000007</v>
      </c>
      <c r="AB750" s="11">
        <v>238</v>
      </c>
      <c r="AC750" s="11">
        <v>-11.5</v>
      </c>
      <c r="AD750" s="11">
        <v>323</v>
      </c>
      <c r="AE750" s="11">
        <v>-7.3</v>
      </c>
      <c r="AF750" s="11">
        <v>365</v>
      </c>
      <c r="AG750" s="11">
        <v>-5.6</v>
      </c>
      <c r="AH750" s="11">
        <v>86</v>
      </c>
      <c r="AI750" s="11">
        <v>85</v>
      </c>
      <c r="AJ750" s="11">
        <v>126</v>
      </c>
      <c r="AK750" s="11" t="s">
        <v>39</v>
      </c>
      <c r="AL750" s="11" t="s">
        <v>44</v>
      </c>
      <c r="AM750" s="10">
        <v>6.1</v>
      </c>
      <c r="AN750" s="9">
        <v>450</v>
      </c>
      <c r="AO750" s="8" t="s">
        <v>1698</v>
      </c>
      <c r="AP750" s="8">
        <v>1010</v>
      </c>
      <c r="AQ750" s="8">
        <v>10.6</v>
      </c>
      <c r="AR750" s="8">
        <v>15.4</v>
      </c>
      <c r="AS750" s="8">
        <v>13</v>
      </c>
      <c r="AT750" s="8">
        <v>32</v>
      </c>
      <c r="AU750" s="8">
        <v>7.1</v>
      </c>
      <c r="AV750" s="8">
        <v>86</v>
      </c>
      <c r="AW750" s="8">
        <v>80</v>
      </c>
      <c r="AX750" s="8">
        <v>277</v>
      </c>
      <c r="AY750" s="8">
        <v>46</v>
      </c>
      <c r="AZ750" s="8" t="s">
        <v>37</v>
      </c>
      <c r="BA750" s="7" t="s">
        <v>46</v>
      </c>
      <c r="BB750" s="9">
        <v>412</v>
      </c>
      <c r="BC750" s="8" t="s">
        <v>1697</v>
      </c>
      <c r="BD750" s="8">
        <v>1.7</v>
      </c>
      <c r="BE750" s="8">
        <v>1.5</v>
      </c>
      <c r="BF750" s="8">
        <v>1.9</v>
      </c>
      <c r="BG750" s="8">
        <v>3</v>
      </c>
      <c r="BH750" s="8">
        <v>4.4000000000000004</v>
      </c>
      <c r="BI750" s="8">
        <v>6.8</v>
      </c>
      <c r="BJ750" s="8">
        <v>10.1</v>
      </c>
      <c r="BK750" s="8">
        <v>10</v>
      </c>
      <c r="BL750" s="8">
        <v>7.7</v>
      </c>
      <c r="BM750" s="8">
        <v>4.8</v>
      </c>
      <c r="BN750" s="8">
        <v>3</v>
      </c>
      <c r="BO750" s="8">
        <v>2.2999999999999998</v>
      </c>
      <c r="BP750" s="7">
        <v>4.8</v>
      </c>
    </row>
    <row r="751" spans="1:68" ht="14.25" customHeight="1">
      <c r="A751" s="12">
        <v>94</v>
      </c>
      <c r="B751" s="14">
        <v>472</v>
      </c>
      <c r="C751" s="13" t="s">
        <v>774</v>
      </c>
      <c r="D751" s="13" t="s">
        <v>1591</v>
      </c>
      <c r="E751" s="13" t="s">
        <v>1696</v>
      </c>
      <c r="F751" s="11">
        <v>-6.6</v>
      </c>
      <c r="G751" s="11">
        <v>-5.6</v>
      </c>
      <c r="H751" s="11">
        <v>-1</v>
      </c>
      <c r="I751" s="11">
        <v>6.8</v>
      </c>
      <c r="J751" s="11">
        <v>13.9</v>
      </c>
      <c r="K751" s="11">
        <v>17</v>
      </c>
      <c r="L751" s="11">
        <v>18.399999999999999</v>
      </c>
      <c r="M751" s="11">
        <v>17.2</v>
      </c>
      <c r="N751" s="11">
        <v>12.4</v>
      </c>
      <c r="O751" s="11">
        <v>6.6</v>
      </c>
      <c r="P751" s="11">
        <v>1</v>
      </c>
      <c r="Q751" s="11">
        <v>-3.7</v>
      </c>
      <c r="R751" s="10">
        <v>6.4</v>
      </c>
      <c r="S751" s="12">
        <v>472</v>
      </c>
      <c r="T751" s="8" t="s">
        <v>1694</v>
      </c>
      <c r="U751" s="11">
        <v>-30</v>
      </c>
      <c r="V751" s="11">
        <v>-27</v>
      </c>
      <c r="W751" s="11">
        <v>-26</v>
      </c>
      <c r="X751" s="11">
        <v>-23</v>
      </c>
      <c r="Y751" s="11">
        <v>-10</v>
      </c>
      <c r="Z751" s="11">
        <v>-36</v>
      </c>
      <c r="AA751" s="11">
        <v>6.5</v>
      </c>
      <c r="AB751" s="11">
        <v>121</v>
      </c>
      <c r="AC751" s="11">
        <v>-4.4000000000000004</v>
      </c>
      <c r="AD751" s="11">
        <v>194</v>
      </c>
      <c r="AE751" s="11">
        <v>-1.2</v>
      </c>
      <c r="AF751" s="11">
        <v>212</v>
      </c>
      <c r="AG751" s="11">
        <v>-0.3</v>
      </c>
      <c r="AH751" s="11">
        <v>85</v>
      </c>
      <c r="AI751" s="11">
        <v>79</v>
      </c>
      <c r="AJ751" s="11">
        <v>198</v>
      </c>
      <c r="AK751" s="11" t="s">
        <v>34</v>
      </c>
      <c r="AL751" s="11">
        <v>3.7</v>
      </c>
      <c r="AM751" s="10">
        <v>3.2</v>
      </c>
      <c r="AN751" s="9">
        <v>472</v>
      </c>
      <c r="AO751" s="8" t="s">
        <v>1695</v>
      </c>
      <c r="AP751" s="8">
        <v>1000</v>
      </c>
      <c r="AQ751" s="8">
        <v>22.5</v>
      </c>
      <c r="AR751" s="8">
        <v>27</v>
      </c>
      <c r="AS751" s="8">
        <v>25</v>
      </c>
      <c r="AT751" s="8">
        <v>38</v>
      </c>
      <c r="AU751" s="8">
        <v>11.8</v>
      </c>
      <c r="AV751" s="8">
        <v>72</v>
      </c>
      <c r="AW751" s="8">
        <v>57</v>
      </c>
      <c r="AX751" s="8">
        <v>456</v>
      </c>
      <c r="AY751" s="8">
        <v>99</v>
      </c>
      <c r="AZ751" s="8" t="s">
        <v>43</v>
      </c>
      <c r="BA751" s="7">
        <v>0</v>
      </c>
      <c r="BB751" s="9"/>
      <c r="BC751" s="8" t="s">
        <v>1694</v>
      </c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7"/>
    </row>
    <row r="752" spans="1:68" ht="14.25" customHeight="1">
      <c r="A752" s="12">
        <v>95</v>
      </c>
      <c r="B752" s="14">
        <v>271</v>
      </c>
      <c r="C752" s="13" t="s">
        <v>30</v>
      </c>
      <c r="D752" s="13" t="s">
        <v>742</v>
      </c>
      <c r="E752" s="13" t="s">
        <v>1691</v>
      </c>
      <c r="F752" s="11">
        <v>-8.6</v>
      </c>
      <c r="G752" s="11">
        <v>-7.7</v>
      </c>
      <c r="H752" s="11">
        <v>-3.2</v>
      </c>
      <c r="I752" s="11">
        <v>4.9000000000000004</v>
      </c>
      <c r="J752" s="11">
        <v>11.5</v>
      </c>
      <c r="K752" s="11">
        <v>15.7</v>
      </c>
      <c r="L752" s="11">
        <v>17.100000000000001</v>
      </c>
      <c r="M752" s="11">
        <v>15.8</v>
      </c>
      <c r="N752" s="11">
        <v>10.7</v>
      </c>
      <c r="O752" s="11">
        <v>5.0999999999999996</v>
      </c>
      <c r="P752" s="11">
        <v>-0.1</v>
      </c>
      <c r="Q752" s="11">
        <v>-5.2</v>
      </c>
      <c r="R752" s="10">
        <v>4.7</v>
      </c>
      <c r="S752" s="12">
        <v>271</v>
      </c>
      <c r="T752" s="8" t="s">
        <v>1693</v>
      </c>
      <c r="U752" s="11">
        <v>-34</v>
      </c>
      <c r="V752" s="11">
        <v>-31</v>
      </c>
      <c r="W752" s="11">
        <v>-31</v>
      </c>
      <c r="X752" s="11">
        <v>-27</v>
      </c>
      <c r="Y752" s="11">
        <v>-14</v>
      </c>
      <c r="Z752" s="11">
        <v>-46</v>
      </c>
      <c r="AA752" s="11">
        <v>7.1</v>
      </c>
      <c r="AB752" s="11">
        <v>133</v>
      </c>
      <c r="AC752" s="11">
        <v>-5.4</v>
      </c>
      <c r="AD752" s="11">
        <v>212</v>
      </c>
      <c r="AE752" s="11">
        <v>-1.9</v>
      </c>
      <c r="AF752" s="11">
        <v>232</v>
      </c>
      <c r="AG752" s="11">
        <v>-0.9</v>
      </c>
      <c r="AH752" s="11">
        <v>84</v>
      </c>
      <c r="AI752" s="11">
        <v>78</v>
      </c>
      <c r="AJ752" s="11">
        <v>177</v>
      </c>
      <c r="AK752" s="11" t="s">
        <v>27</v>
      </c>
      <c r="AL752" s="11">
        <v>6.1</v>
      </c>
      <c r="AM752" s="10">
        <v>4.2</v>
      </c>
      <c r="AN752" s="9">
        <v>271</v>
      </c>
      <c r="AO752" s="8" t="s">
        <v>1692</v>
      </c>
      <c r="AP752" s="8">
        <v>1000</v>
      </c>
      <c r="AQ752" s="8">
        <v>20.9</v>
      </c>
      <c r="AR752" s="8">
        <v>24.5</v>
      </c>
      <c r="AS752" s="8">
        <v>23.2</v>
      </c>
      <c r="AT752" s="8">
        <v>35</v>
      </c>
      <c r="AU752" s="8">
        <v>12</v>
      </c>
      <c r="AV752" s="8">
        <v>77</v>
      </c>
      <c r="AW752" s="8">
        <v>61</v>
      </c>
      <c r="AX752" s="8">
        <v>425</v>
      </c>
      <c r="AY752" s="8">
        <v>60</v>
      </c>
      <c r="AZ752" s="8" t="s">
        <v>82</v>
      </c>
      <c r="BA752" s="7">
        <v>0</v>
      </c>
      <c r="BB752" s="9">
        <v>242</v>
      </c>
      <c r="BC752" s="8" t="s">
        <v>1691</v>
      </c>
      <c r="BD752" s="8">
        <v>3.2</v>
      </c>
      <c r="BE752" s="8">
        <v>3.3</v>
      </c>
      <c r="BF752" s="8">
        <v>4.2</v>
      </c>
      <c r="BG752" s="8">
        <v>6.5</v>
      </c>
      <c r="BH752" s="8">
        <v>9.6999999999999993</v>
      </c>
      <c r="BI752" s="8">
        <v>13</v>
      </c>
      <c r="BJ752" s="8">
        <v>14.9</v>
      </c>
      <c r="BK752" s="8">
        <v>14.2</v>
      </c>
      <c r="BL752" s="8">
        <v>10.7</v>
      </c>
      <c r="BM752" s="8">
        <v>7.7</v>
      </c>
      <c r="BN752" s="8">
        <v>5.6</v>
      </c>
      <c r="BO752" s="8">
        <v>4.2</v>
      </c>
      <c r="BP752" s="7">
        <v>8.1</v>
      </c>
    </row>
    <row r="753" spans="1:68" ht="14.25" customHeight="1">
      <c r="A753" s="12">
        <v>96</v>
      </c>
      <c r="B753" s="14">
        <v>231</v>
      </c>
      <c r="C753" s="13" t="s">
        <v>30</v>
      </c>
      <c r="D753" s="13" t="s">
        <v>1690</v>
      </c>
      <c r="E753" s="13" t="s">
        <v>1687</v>
      </c>
      <c r="F753" s="11">
        <v>-8.6999999999999993</v>
      </c>
      <c r="G753" s="11">
        <v>-8.6999999999999993</v>
      </c>
      <c r="H753" s="11">
        <v>-4.3</v>
      </c>
      <c r="I753" s="11">
        <v>3.3</v>
      </c>
      <c r="J753" s="11">
        <v>10.4</v>
      </c>
      <c r="K753" s="11">
        <v>15.2</v>
      </c>
      <c r="L753" s="11">
        <v>17.3</v>
      </c>
      <c r="M753" s="11">
        <v>15.4</v>
      </c>
      <c r="N753" s="11">
        <v>10.3</v>
      </c>
      <c r="O753" s="11">
        <v>4.2</v>
      </c>
      <c r="P753" s="11">
        <v>-0.9</v>
      </c>
      <c r="Q753" s="11">
        <v>-5.9</v>
      </c>
      <c r="R753" s="10">
        <v>4</v>
      </c>
      <c r="S753" s="12">
        <v>231</v>
      </c>
      <c r="T753" s="8" t="s">
        <v>1689</v>
      </c>
      <c r="U753" s="11">
        <v>-38</v>
      </c>
      <c r="V753" s="11">
        <v>-31</v>
      </c>
      <c r="W753" s="11">
        <v>-33</v>
      </c>
      <c r="X753" s="11">
        <v>-27</v>
      </c>
      <c r="Y753" s="11">
        <v>-14</v>
      </c>
      <c r="Z753" s="11">
        <v>-45</v>
      </c>
      <c r="AA753" s="11">
        <v>6.8</v>
      </c>
      <c r="AB753" s="11">
        <v>143</v>
      </c>
      <c r="AC753" s="11">
        <v>-5.7</v>
      </c>
      <c r="AD753" s="11">
        <v>221</v>
      </c>
      <c r="AE753" s="11">
        <v>-2.2999999999999998</v>
      </c>
      <c r="AF753" s="11">
        <v>239</v>
      </c>
      <c r="AG753" s="11">
        <v>-1.4</v>
      </c>
      <c r="AH753" s="11">
        <v>85</v>
      </c>
      <c r="AI753" s="11">
        <v>85</v>
      </c>
      <c r="AJ753" s="11">
        <v>176</v>
      </c>
      <c r="AK753" s="11" t="s">
        <v>34</v>
      </c>
      <c r="AL753" s="11">
        <v>6.6</v>
      </c>
      <c r="AM753" s="10">
        <v>4.5999999999999996</v>
      </c>
      <c r="AN753" s="9">
        <v>231</v>
      </c>
      <c r="AO753" s="8" t="s">
        <v>1688</v>
      </c>
      <c r="AP753" s="8">
        <v>1010</v>
      </c>
      <c r="AQ753" s="8">
        <v>20.3</v>
      </c>
      <c r="AR753" s="8">
        <v>24.6</v>
      </c>
      <c r="AS753" s="8">
        <v>22.7</v>
      </c>
      <c r="AT753" s="8">
        <v>34</v>
      </c>
      <c r="AU753" s="8">
        <v>11</v>
      </c>
      <c r="AV753" s="8">
        <v>76</v>
      </c>
      <c r="AW753" s="8">
        <v>61</v>
      </c>
      <c r="AX753" s="8">
        <v>424</v>
      </c>
      <c r="AY753" s="8">
        <v>72</v>
      </c>
      <c r="AZ753" s="8" t="s">
        <v>82</v>
      </c>
      <c r="BA753" s="7">
        <v>4</v>
      </c>
      <c r="BB753" s="9">
        <v>203</v>
      </c>
      <c r="BC753" s="8" t="s">
        <v>1687</v>
      </c>
      <c r="BD753" s="8">
        <v>3.1</v>
      </c>
      <c r="BE753" s="8">
        <v>3.1</v>
      </c>
      <c r="BF753" s="8">
        <v>3.9</v>
      </c>
      <c r="BG753" s="8">
        <v>6.1</v>
      </c>
      <c r="BH753" s="8">
        <v>8.8000000000000007</v>
      </c>
      <c r="BI753" s="8">
        <v>12.5</v>
      </c>
      <c r="BJ753" s="8">
        <v>15.1</v>
      </c>
      <c r="BK753" s="8">
        <v>14.4</v>
      </c>
      <c r="BL753" s="8">
        <v>10.8</v>
      </c>
      <c r="BM753" s="8">
        <v>7.5</v>
      </c>
      <c r="BN753" s="8">
        <v>5.5</v>
      </c>
      <c r="BO753" s="8">
        <v>4</v>
      </c>
      <c r="BP753" s="7">
        <v>7.9</v>
      </c>
    </row>
    <row r="754" spans="1:68" ht="14.25" customHeight="1">
      <c r="A754" s="12">
        <v>97</v>
      </c>
      <c r="B754" s="14">
        <v>175</v>
      </c>
      <c r="C754" s="13" t="s">
        <v>30</v>
      </c>
      <c r="D754" s="13" t="s">
        <v>29</v>
      </c>
      <c r="E754" s="13" t="s">
        <v>1684</v>
      </c>
      <c r="F754" s="11">
        <v>-27.6</v>
      </c>
      <c r="G754" s="11">
        <v>-24.8</v>
      </c>
      <c r="H754" s="11">
        <v>-14.8</v>
      </c>
      <c r="I754" s="11">
        <v>-3.7</v>
      </c>
      <c r="J754" s="11">
        <v>4.3</v>
      </c>
      <c r="K754" s="11">
        <v>13.1</v>
      </c>
      <c r="L754" s="11">
        <v>16.8</v>
      </c>
      <c r="M754" s="11">
        <v>12.7</v>
      </c>
      <c r="N754" s="11">
        <v>6.1</v>
      </c>
      <c r="O754" s="11">
        <v>-3.7</v>
      </c>
      <c r="P754" s="11">
        <v>-18.100000000000001</v>
      </c>
      <c r="Q754" s="11">
        <v>-26.5</v>
      </c>
      <c r="R754" s="10">
        <v>-5.5</v>
      </c>
      <c r="S754" s="12">
        <v>175</v>
      </c>
      <c r="T754" s="8" t="s">
        <v>1686</v>
      </c>
      <c r="U754" s="11">
        <v>-55</v>
      </c>
      <c r="V754" s="11">
        <v>-54</v>
      </c>
      <c r="W754" s="11">
        <v>-52</v>
      </c>
      <c r="X754" s="11">
        <v>-49</v>
      </c>
      <c r="Y754" s="11">
        <v>-33</v>
      </c>
      <c r="Z754" s="11">
        <v>-59</v>
      </c>
      <c r="AA754" s="11">
        <v>13.2</v>
      </c>
      <c r="AB754" s="11">
        <v>207</v>
      </c>
      <c r="AC754" s="11">
        <v>-17.100000000000001</v>
      </c>
      <c r="AD754" s="11">
        <v>264</v>
      </c>
      <c r="AE754" s="11">
        <v>-12.5</v>
      </c>
      <c r="AF754" s="11">
        <v>280</v>
      </c>
      <c r="AG754" s="11">
        <v>-11.3</v>
      </c>
      <c r="AH754" s="11">
        <v>79</v>
      </c>
      <c r="AI754" s="11">
        <v>79</v>
      </c>
      <c r="AJ754" s="11">
        <v>184</v>
      </c>
      <c r="AK754" s="11" t="s">
        <v>48</v>
      </c>
      <c r="AL754" s="11" t="s">
        <v>44</v>
      </c>
      <c r="AM754" s="10">
        <v>1.6</v>
      </c>
      <c r="AN754" s="9">
        <v>175</v>
      </c>
      <c r="AO754" s="8" t="s">
        <v>1685</v>
      </c>
      <c r="AP754" s="8">
        <v>990</v>
      </c>
      <c r="AQ754" s="8">
        <v>21.9</v>
      </c>
      <c r="AR754" s="8">
        <v>26</v>
      </c>
      <c r="AS754" s="8">
        <v>24.3</v>
      </c>
      <c r="AT754" s="8">
        <v>35</v>
      </c>
      <c r="AU754" s="8">
        <v>15.3</v>
      </c>
      <c r="AV754" s="8">
        <v>73</v>
      </c>
      <c r="AW754" s="8">
        <v>55</v>
      </c>
      <c r="AX754" s="8">
        <v>469</v>
      </c>
      <c r="AY754" s="8">
        <v>47</v>
      </c>
      <c r="AZ754" s="8" t="s">
        <v>43</v>
      </c>
      <c r="BA754" s="7" t="s">
        <v>46</v>
      </c>
      <c r="BB754" s="9">
        <v>154</v>
      </c>
      <c r="BC754" s="8" t="s">
        <v>1684</v>
      </c>
      <c r="BD754" s="8">
        <v>0.8</v>
      </c>
      <c r="BE754" s="8">
        <v>1</v>
      </c>
      <c r="BF754" s="8">
        <v>1.8</v>
      </c>
      <c r="BG754" s="8">
        <v>3.3</v>
      </c>
      <c r="BH754" s="8">
        <v>5.4</v>
      </c>
      <c r="BI754" s="8">
        <v>10.1</v>
      </c>
      <c r="BJ754" s="8">
        <v>13.7</v>
      </c>
      <c r="BK754" s="8">
        <v>11.9</v>
      </c>
      <c r="BL754" s="8">
        <v>7.9</v>
      </c>
      <c r="BM754" s="8">
        <v>4.2</v>
      </c>
      <c r="BN754" s="8">
        <v>1.7</v>
      </c>
      <c r="BO754" s="8">
        <v>0.9</v>
      </c>
      <c r="BP754" s="7">
        <v>5.2</v>
      </c>
    </row>
    <row r="755" spans="1:68" ht="14.25" customHeight="1">
      <c r="A755" s="12">
        <v>98</v>
      </c>
      <c r="B755" s="14">
        <v>150</v>
      </c>
      <c r="C755" s="13" t="s">
        <v>30</v>
      </c>
      <c r="D755" s="13" t="s">
        <v>280</v>
      </c>
      <c r="E755" s="13" t="s">
        <v>1681</v>
      </c>
      <c r="F755" s="11">
        <v>-15.8</v>
      </c>
      <c r="G755" s="11">
        <v>-15.1</v>
      </c>
      <c r="H755" s="11">
        <v>-9.1</v>
      </c>
      <c r="I755" s="11">
        <v>-0.4</v>
      </c>
      <c r="J755" s="11">
        <v>6.2</v>
      </c>
      <c r="K755" s="11">
        <v>12.4</v>
      </c>
      <c r="L755" s="11">
        <v>15.5</v>
      </c>
      <c r="M755" s="11">
        <v>13</v>
      </c>
      <c r="N755" s="11">
        <v>6.8</v>
      </c>
      <c r="O755" s="11">
        <v>0</v>
      </c>
      <c r="P755" s="11">
        <v>-6.7</v>
      </c>
      <c r="Q755" s="11">
        <v>-13.2</v>
      </c>
      <c r="R755" s="10">
        <v>-0.5</v>
      </c>
      <c r="S755" s="12">
        <v>150</v>
      </c>
      <c r="T755" s="8" t="s">
        <v>1683</v>
      </c>
      <c r="U755" s="11">
        <v>-46</v>
      </c>
      <c r="V755" s="11">
        <v>-44</v>
      </c>
      <c r="W755" s="11">
        <v>-40</v>
      </c>
      <c r="X755" s="11">
        <v>-39</v>
      </c>
      <c r="Y755" s="11">
        <v>-21</v>
      </c>
      <c r="Z755" s="11">
        <v>-52</v>
      </c>
      <c r="AA755" s="11">
        <v>8.6999999999999993</v>
      </c>
      <c r="AB755" s="11">
        <v>183</v>
      </c>
      <c r="AC755" s="11">
        <v>-9.9</v>
      </c>
      <c r="AD755" s="11">
        <v>257</v>
      </c>
      <c r="AE755" s="11">
        <v>-5.9</v>
      </c>
      <c r="AF755" s="11">
        <v>277</v>
      </c>
      <c r="AG755" s="11">
        <v>-4.8</v>
      </c>
      <c r="AH755" s="11">
        <v>83</v>
      </c>
      <c r="AI755" s="11">
        <v>83</v>
      </c>
      <c r="AJ755" s="11">
        <v>159</v>
      </c>
      <c r="AK755" s="11" t="s">
        <v>34</v>
      </c>
      <c r="AL755" s="11">
        <v>3.8</v>
      </c>
      <c r="AM755" s="10">
        <v>3.1</v>
      </c>
      <c r="AN755" s="9">
        <v>150</v>
      </c>
      <c r="AO755" s="8" t="s">
        <v>1682</v>
      </c>
      <c r="AP755" s="8">
        <v>1000</v>
      </c>
      <c r="AQ755" s="8">
        <v>19.600000000000001</v>
      </c>
      <c r="AR755" s="8">
        <v>23.9</v>
      </c>
      <c r="AS755" s="8">
        <v>22</v>
      </c>
      <c r="AT755" s="8">
        <v>35</v>
      </c>
      <c r="AU755" s="8">
        <v>12.9</v>
      </c>
      <c r="AV755" s="8">
        <v>71</v>
      </c>
      <c r="AW755" s="8">
        <v>57</v>
      </c>
      <c r="AX755" s="8">
        <v>423</v>
      </c>
      <c r="AY755" s="8">
        <v>59</v>
      </c>
      <c r="AZ755" s="8" t="s">
        <v>32</v>
      </c>
      <c r="BA755" s="7">
        <v>0</v>
      </c>
      <c r="BB755" s="9">
        <v>130</v>
      </c>
      <c r="BC755" s="8" t="s">
        <v>1681</v>
      </c>
      <c r="BD755" s="8">
        <v>2</v>
      </c>
      <c r="BE755" s="8">
        <v>2</v>
      </c>
      <c r="BF755" s="8">
        <v>2.8</v>
      </c>
      <c r="BG755" s="8">
        <v>4.3</v>
      </c>
      <c r="BH755" s="8">
        <v>6.1</v>
      </c>
      <c r="BI755" s="8">
        <v>9.6</v>
      </c>
      <c r="BJ755" s="8">
        <v>12.5</v>
      </c>
      <c r="BK755" s="8">
        <v>11.8</v>
      </c>
      <c r="BL755" s="8">
        <v>8.6999999999999993</v>
      </c>
      <c r="BM755" s="8">
        <v>5.6</v>
      </c>
      <c r="BN755" s="8">
        <v>3.8</v>
      </c>
      <c r="BO755" s="8">
        <v>2.6</v>
      </c>
      <c r="BP755" s="7">
        <v>6</v>
      </c>
    </row>
    <row r="756" spans="1:68" ht="14.25" customHeight="1">
      <c r="A756" s="12">
        <v>99</v>
      </c>
      <c r="B756" s="14">
        <v>176</v>
      </c>
      <c r="C756" s="13" t="s">
        <v>30</v>
      </c>
      <c r="D756" s="13" t="s">
        <v>29</v>
      </c>
      <c r="E756" s="13" t="s">
        <v>1678</v>
      </c>
      <c r="F756" s="11">
        <v>-24.7</v>
      </c>
      <c r="G756" s="11">
        <v>-22.4</v>
      </c>
      <c r="H756" s="11">
        <v>-14.3</v>
      </c>
      <c r="I756" s="11">
        <v>-5.0999999999999996</v>
      </c>
      <c r="J756" s="11">
        <v>2.4</v>
      </c>
      <c r="K756" s="11">
        <v>11.8</v>
      </c>
      <c r="L756" s="11">
        <v>16.8</v>
      </c>
      <c r="M756" s="11">
        <v>13.1</v>
      </c>
      <c r="N756" s="11">
        <v>6.8</v>
      </c>
      <c r="O756" s="11">
        <v>-3.5</v>
      </c>
      <c r="P756" s="11">
        <v>-16.899999999999999</v>
      </c>
      <c r="Q756" s="11">
        <v>-24</v>
      </c>
      <c r="R756" s="10">
        <v>-5</v>
      </c>
      <c r="S756" s="12">
        <v>176</v>
      </c>
      <c r="T756" s="8" t="s">
        <v>1680</v>
      </c>
      <c r="U756" s="11">
        <v>-56</v>
      </c>
      <c r="V756" s="11">
        <v>-52</v>
      </c>
      <c r="W756" s="11">
        <v>-51</v>
      </c>
      <c r="X756" s="11">
        <v>-48</v>
      </c>
      <c r="Y756" s="11">
        <v>-30</v>
      </c>
      <c r="Z756" s="11">
        <v>-57</v>
      </c>
      <c r="AA756" s="11">
        <v>9</v>
      </c>
      <c r="AB756" s="11">
        <v>213</v>
      </c>
      <c r="AC756" s="11">
        <v>-15.5</v>
      </c>
      <c r="AD756" s="11">
        <v>266</v>
      </c>
      <c r="AE756" s="11">
        <v>-11.5</v>
      </c>
      <c r="AF756" s="11">
        <v>283</v>
      </c>
      <c r="AG756" s="11">
        <v>-10.4</v>
      </c>
      <c r="AH756" s="11">
        <v>81</v>
      </c>
      <c r="AI756" s="11">
        <v>81</v>
      </c>
      <c r="AJ756" s="11">
        <v>160</v>
      </c>
      <c r="AK756" s="11" t="s">
        <v>27</v>
      </c>
      <c r="AL756" s="11">
        <v>4.3</v>
      </c>
      <c r="AM756" s="10">
        <v>3.6</v>
      </c>
      <c r="AN756" s="9">
        <v>176</v>
      </c>
      <c r="AO756" s="8" t="s">
        <v>1679</v>
      </c>
      <c r="AP756" s="8">
        <v>1005</v>
      </c>
      <c r="AQ756" s="8">
        <v>20.3</v>
      </c>
      <c r="AR756" s="8">
        <v>24.6</v>
      </c>
      <c r="AS756" s="8">
        <v>22.7</v>
      </c>
      <c r="AT756" s="8">
        <v>35</v>
      </c>
      <c r="AU756" s="8">
        <v>11.1</v>
      </c>
      <c r="AV756" s="8">
        <v>70</v>
      </c>
      <c r="AW756" s="8">
        <v>59</v>
      </c>
      <c r="AX756" s="8">
        <v>415</v>
      </c>
      <c r="AY756" s="8">
        <v>90</v>
      </c>
      <c r="AZ756" s="8" t="s">
        <v>54</v>
      </c>
      <c r="BA756" s="7">
        <v>0</v>
      </c>
      <c r="BB756" s="9">
        <v>155</v>
      </c>
      <c r="BC756" s="8" t="s">
        <v>1678</v>
      </c>
      <c r="BD756" s="8">
        <v>1</v>
      </c>
      <c r="BE756" s="8">
        <v>1.1000000000000001</v>
      </c>
      <c r="BF756" s="8">
        <v>1.9</v>
      </c>
      <c r="BG756" s="8">
        <v>3.3</v>
      </c>
      <c r="BH756" s="8">
        <v>5.0999999999999996</v>
      </c>
      <c r="BI756" s="8">
        <v>9.6999999999999993</v>
      </c>
      <c r="BJ756" s="8">
        <v>13.7</v>
      </c>
      <c r="BK756" s="8">
        <v>11.9</v>
      </c>
      <c r="BL756" s="8">
        <v>8.1999999999999993</v>
      </c>
      <c r="BM756" s="8">
        <v>4.4000000000000004</v>
      </c>
      <c r="BN756" s="8">
        <v>1.8</v>
      </c>
      <c r="BO756" s="8">
        <v>1.1000000000000001</v>
      </c>
      <c r="BP756" s="7">
        <v>5.3</v>
      </c>
    </row>
    <row r="757" spans="1:68" ht="14.25" customHeight="1">
      <c r="A757" s="12">
        <v>100</v>
      </c>
      <c r="B757" s="14">
        <v>372</v>
      </c>
      <c r="C757" s="13" t="s">
        <v>30</v>
      </c>
      <c r="D757" s="13" t="s">
        <v>193</v>
      </c>
      <c r="E757" s="13" t="s">
        <v>1675</v>
      </c>
      <c r="F757" s="11">
        <v>-16.399999999999999</v>
      </c>
      <c r="G757" s="11">
        <v>-15.9</v>
      </c>
      <c r="H757" s="11">
        <v>-9</v>
      </c>
      <c r="I757" s="11">
        <v>2.9</v>
      </c>
      <c r="J757" s="11">
        <v>11.1</v>
      </c>
      <c r="K757" s="11">
        <v>15.9</v>
      </c>
      <c r="L757" s="11">
        <v>17.600000000000001</v>
      </c>
      <c r="M757" s="11">
        <v>15.5</v>
      </c>
      <c r="N757" s="11">
        <v>9.8000000000000007</v>
      </c>
      <c r="O757" s="11">
        <v>1.5</v>
      </c>
      <c r="P757" s="11">
        <v>-6.5</v>
      </c>
      <c r="Q757" s="11">
        <v>-14</v>
      </c>
      <c r="R757" s="10">
        <v>1</v>
      </c>
      <c r="S757" s="12">
        <v>372</v>
      </c>
      <c r="T757" s="8" t="s">
        <v>1677</v>
      </c>
      <c r="U757" s="11">
        <v>-39</v>
      </c>
      <c r="V757" s="11">
        <v>-38</v>
      </c>
      <c r="W757" s="11">
        <v>-35</v>
      </c>
      <c r="X757" s="11">
        <v>-34</v>
      </c>
      <c r="Y757" s="11">
        <v>-21</v>
      </c>
      <c r="Z757" s="11">
        <v>-48</v>
      </c>
      <c r="AA757" s="11">
        <v>10.3</v>
      </c>
      <c r="AB757" s="11">
        <v>170</v>
      </c>
      <c r="AC757" s="11">
        <v>-11.1</v>
      </c>
      <c r="AD757" s="11">
        <v>221</v>
      </c>
      <c r="AE757" s="11">
        <v>-7.5</v>
      </c>
      <c r="AF757" s="11">
        <v>242</v>
      </c>
      <c r="AG757" s="11">
        <v>-6.1</v>
      </c>
      <c r="AH757" s="11">
        <v>78</v>
      </c>
      <c r="AI757" s="11">
        <v>75</v>
      </c>
      <c r="AJ757" s="11">
        <v>81</v>
      </c>
      <c r="AK757" s="11" t="s">
        <v>39</v>
      </c>
      <c r="AL757" s="11" t="s">
        <v>44</v>
      </c>
      <c r="AM757" s="10">
        <v>3.1</v>
      </c>
      <c r="AN757" s="9">
        <v>372</v>
      </c>
      <c r="AO757" s="8" t="s">
        <v>1676</v>
      </c>
      <c r="AP757" s="8">
        <v>976</v>
      </c>
      <c r="AQ757" s="8">
        <v>22</v>
      </c>
      <c r="AR757" s="8">
        <v>28</v>
      </c>
      <c r="AS757" s="8">
        <v>23.9</v>
      </c>
      <c r="AT757" s="8">
        <v>39</v>
      </c>
      <c r="AU757" s="8">
        <v>13.2</v>
      </c>
      <c r="AV757" s="8">
        <v>70</v>
      </c>
      <c r="AW757" s="8">
        <v>50</v>
      </c>
      <c r="AX757" s="8">
        <v>298</v>
      </c>
      <c r="AY757" s="8">
        <v>76</v>
      </c>
      <c r="AZ757" s="8" t="s">
        <v>82</v>
      </c>
      <c r="BA757" s="7" t="s">
        <v>46</v>
      </c>
      <c r="BB757" s="9">
        <v>337</v>
      </c>
      <c r="BC757" s="8" t="s">
        <v>1675</v>
      </c>
      <c r="BD757" s="8">
        <v>1.6</v>
      </c>
      <c r="BE757" s="8">
        <v>1.6</v>
      </c>
      <c r="BF757" s="8">
        <v>2.8</v>
      </c>
      <c r="BG757" s="8">
        <v>5.3</v>
      </c>
      <c r="BH757" s="8">
        <v>7.5</v>
      </c>
      <c r="BI757" s="8">
        <v>11.1</v>
      </c>
      <c r="BJ757" s="8">
        <v>13.6</v>
      </c>
      <c r="BK757" s="8">
        <v>11.8</v>
      </c>
      <c r="BL757" s="8">
        <v>8.1999999999999993</v>
      </c>
      <c r="BM757" s="8">
        <v>5.0999999999999996</v>
      </c>
      <c r="BN757" s="8">
        <v>3.3</v>
      </c>
      <c r="BO757" s="8">
        <v>2.1</v>
      </c>
      <c r="BP757" s="7">
        <v>6.1</v>
      </c>
    </row>
    <row r="758" spans="1:68" ht="14.25" customHeight="1">
      <c r="A758" s="12">
        <v>101</v>
      </c>
      <c r="B758" s="14">
        <v>46</v>
      </c>
      <c r="C758" s="13" t="s">
        <v>30</v>
      </c>
      <c r="D758" s="13" t="s">
        <v>1674</v>
      </c>
      <c r="E758" s="13" t="s">
        <v>1671</v>
      </c>
      <c r="F758" s="11">
        <v>-9.5</v>
      </c>
      <c r="G758" s="11">
        <v>-9.1</v>
      </c>
      <c r="H758" s="11">
        <v>-2.1</v>
      </c>
      <c r="I758" s="11">
        <v>9.6</v>
      </c>
      <c r="J758" s="11">
        <v>17.399999999999999</v>
      </c>
      <c r="K758" s="11">
        <v>22.3</v>
      </c>
      <c r="L758" s="11">
        <v>25.6</v>
      </c>
      <c r="M758" s="11">
        <v>23.5</v>
      </c>
      <c r="N758" s="11">
        <v>16.600000000000001</v>
      </c>
      <c r="O758" s="11">
        <v>7.6</v>
      </c>
      <c r="P758" s="11">
        <v>0.5</v>
      </c>
      <c r="Q758" s="11">
        <v>-5.7</v>
      </c>
      <c r="R758" s="10">
        <v>8</v>
      </c>
      <c r="S758" s="12">
        <v>46</v>
      </c>
      <c r="T758" s="8" t="s">
        <v>1673</v>
      </c>
      <c r="U758" s="11">
        <v>-32</v>
      </c>
      <c r="V758" s="11">
        <v>-30</v>
      </c>
      <c r="W758" s="11">
        <v>-28</v>
      </c>
      <c r="X758" s="11">
        <v>-26</v>
      </c>
      <c r="Y758" s="11">
        <v>-14</v>
      </c>
      <c r="Z758" s="11">
        <v>-37</v>
      </c>
      <c r="AA758" s="11">
        <v>7.2</v>
      </c>
      <c r="AB758" s="11">
        <v>124</v>
      </c>
      <c r="AC758" s="11">
        <v>-6.1</v>
      </c>
      <c r="AD758" s="11">
        <v>179</v>
      </c>
      <c r="AE758" s="11">
        <v>-3</v>
      </c>
      <c r="AF758" s="11">
        <v>191</v>
      </c>
      <c r="AG758" s="11">
        <v>-2.2000000000000002</v>
      </c>
      <c r="AH758" s="11">
        <v>84</v>
      </c>
      <c r="AI758" s="11">
        <v>84</v>
      </c>
      <c r="AJ758" s="11">
        <v>117</v>
      </c>
      <c r="AK758" s="11" t="s">
        <v>66</v>
      </c>
      <c r="AL758" s="11">
        <v>5.9</v>
      </c>
      <c r="AM758" s="10">
        <v>4.3</v>
      </c>
      <c r="AN758" s="9">
        <v>46</v>
      </c>
      <c r="AO758" s="8" t="s">
        <v>1672</v>
      </c>
      <c r="AP758" s="8">
        <v>1010</v>
      </c>
      <c r="AQ758" s="8">
        <v>29</v>
      </c>
      <c r="AR758" s="8">
        <v>32.799999999999997</v>
      </c>
      <c r="AS758" s="8">
        <v>31.4</v>
      </c>
      <c r="AT758" s="8">
        <v>45</v>
      </c>
      <c r="AU758" s="8">
        <v>13.1</v>
      </c>
      <c r="AV758" s="8">
        <v>45</v>
      </c>
      <c r="AW758" s="8">
        <v>32</v>
      </c>
      <c r="AX758" s="8">
        <v>156</v>
      </c>
      <c r="AY758" s="8">
        <v>58</v>
      </c>
      <c r="AZ758" s="8" t="s">
        <v>43</v>
      </c>
      <c r="BA758" s="7">
        <v>0</v>
      </c>
      <c r="BB758" s="9">
        <v>32</v>
      </c>
      <c r="BC758" s="8" t="s">
        <v>1671</v>
      </c>
      <c r="BD758" s="8">
        <v>2.9</v>
      </c>
      <c r="BE758" s="8">
        <v>3.2</v>
      </c>
      <c r="BF758" s="8">
        <v>4.7</v>
      </c>
      <c r="BG758" s="8">
        <v>7.1</v>
      </c>
      <c r="BH758" s="8">
        <v>9.5</v>
      </c>
      <c r="BI758" s="8">
        <v>12.1</v>
      </c>
      <c r="BJ758" s="8">
        <v>13.4</v>
      </c>
      <c r="BK758" s="8">
        <v>12.7</v>
      </c>
      <c r="BL758" s="8">
        <v>9.6999999999999993</v>
      </c>
      <c r="BM758" s="8">
        <v>7.2</v>
      </c>
      <c r="BN758" s="8">
        <v>5.6</v>
      </c>
      <c r="BO758" s="8">
        <v>4</v>
      </c>
      <c r="BP758" s="7">
        <v>7.7</v>
      </c>
    </row>
    <row r="759" spans="1:68" ht="14.25" customHeight="1">
      <c r="A759" s="12">
        <v>102</v>
      </c>
      <c r="B759" s="14">
        <v>86</v>
      </c>
      <c r="C759" s="13" t="s">
        <v>30</v>
      </c>
      <c r="D759" s="13" t="s">
        <v>300</v>
      </c>
      <c r="E759" s="13" t="s">
        <v>1668</v>
      </c>
      <c r="F759" s="11">
        <v>-19.8</v>
      </c>
      <c r="G759" s="11">
        <v>-17.2</v>
      </c>
      <c r="H759" s="11">
        <v>-10.6</v>
      </c>
      <c r="I759" s="11">
        <v>-2.1</v>
      </c>
      <c r="J759" s="11">
        <v>4.8</v>
      </c>
      <c r="K759" s="11">
        <v>11.3</v>
      </c>
      <c r="L759" s="11">
        <v>13.7</v>
      </c>
      <c r="M759" s="11">
        <v>11</v>
      </c>
      <c r="N759" s="11">
        <v>4.9000000000000004</v>
      </c>
      <c r="O759" s="11">
        <v>-2.1</v>
      </c>
      <c r="P759" s="11">
        <v>-11.5</v>
      </c>
      <c r="Q759" s="11">
        <v>-18</v>
      </c>
      <c r="R759" s="10">
        <v>-3</v>
      </c>
      <c r="S759" s="12">
        <v>86</v>
      </c>
      <c r="T759" s="8" t="s">
        <v>1670</v>
      </c>
      <c r="U759" s="11">
        <v>-42</v>
      </c>
      <c r="V759" s="11">
        <v>-40</v>
      </c>
      <c r="W759" s="11">
        <v>-40</v>
      </c>
      <c r="X759" s="11">
        <v>-37</v>
      </c>
      <c r="Y759" s="11">
        <v>-25</v>
      </c>
      <c r="Z759" s="11">
        <v>-47</v>
      </c>
      <c r="AA759" s="11">
        <v>17</v>
      </c>
      <c r="AB759" s="11">
        <v>200</v>
      </c>
      <c r="AC759" s="11">
        <v>-12.1</v>
      </c>
      <c r="AD759" s="11">
        <v>273</v>
      </c>
      <c r="AE759" s="11">
        <v>-7.7</v>
      </c>
      <c r="AF759" s="11">
        <v>292</v>
      </c>
      <c r="AG759" s="11">
        <v>-6.6</v>
      </c>
      <c r="AH759" s="11">
        <v>75</v>
      </c>
      <c r="AI759" s="11">
        <v>61</v>
      </c>
      <c r="AJ759" s="11">
        <v>44</v>
      </c>
      <c r="AK759" s="11" t="s">
        <v>39</v>
      </c>
      <c r="AL759" s="11" t="s">
        <v>44</v>
      </c>
      <c r="AM759" s="10">
        <v>1.7</v>
      </c>
      <c r="AN759" s="9">
        <v>86</v>
      </c>
      <c r="AO759" s="8" t="s">
        <v>1669</v>
      </c>
      <c r="AP759" s="8">
        <v>910</v>
      </c>
      <c r="AQ759" s="8">
        <v>19.5</v>
      </c>
      <c r="AR759" s="8">
        <v>23.8</v>
      </c>
      <c r="AS759" s="8">
        <v>21.9</v>
      </c>
      <c r="AT759" s="8">
        <v>36</v>
      </c>
      <c r="AU759" s="8">
        <v>15.4</v>
      </c>
      <c r="AV759" s="8">
        <v>78</v>
      </c>
      <c r="AW759" s="8">
        <v>54</v>
      </c>
      <c r="AX759" s="8">
        <v>526</v>
      </c>
      <c r="AY759" s="8">
        <v>63</v>
      </c>
      <c r="AZ759" s="8" t="s">
        <v>32</v>
      </c>
      <c r="BA759" s="7" t="s">
        <v>46</v>
      </c>
      <c r="BB759" s="9">
        <v>70</v>
      </c>
      <c r="BC759" s="8" t="s">
        <v>1668</v>
      </c>
      <c r="BD759" s="8">
        <v>1.1000000000000001</v>
      </c>
      <c r="BE759" s="8">
        <v>1.2</v>
      </c>
      <c r="BF759" s="8">
        <v>1.8</v>
      </c>
      <c r="BG759" s="8">
        <v>3.2</v>
      </c>
      <c r="BH759" s="8">
        <v>5.0999999999999996</v>
      </c>
      <c r="BI759" s="8">
        <v>9</v>
      </c>
      <c r="BJ759" s="8">
        <v>11.9</v>
      </c>
      <c r="BK759" s="8">
        <v>10.3</v>
      </c>
      <c r="BL759" s="8">
        <v>6.4</v>
      </c>
      <c r="BM759" s="8">
        <v>3.5</v>
      </c>
      <c r="BN759" s="8">
        <v>1.9</v>
      </c>
      <c r="BO759" s="8">
        <v>1.4</v>
      </c>
      <c r="BP759" s="7">
        <v>4.7</v>
      </c>
    </row>
    <row r="760" spans="1:68" ht="14.25" customHeight="1">
      <c r="A760" s="12">
        <v>103</v>
      </c>
      <c r="B760" s="14">
        <v>278</v>
      </c>
      <c r="C760" s="13" t="s">
        <v>30</v>
      </c>
      <c r="D760" s="13" t="s">
        <v>131</v>
      </c>
      <c r="E760" s="13" t="s">
        <v>1665</v>
      </c>
      <c r="F760" s="11">
        <v>-17.3</v>
      </c>
      <c r="G760" s="11">
        <v>-15.1</v>
      </c>
      <c r="H760" s="11">
        <v>-7.7</v>
      </c>
      <c r="I760" s="11">
        <v>2.2999999999999998</v>
      </c>
      <c r="J760" s="11">
        <v>8.9</v>
      </c>
      <c r="K760" s="11">
        <v>14.7</v>
      </c>
      <c r="L760" s="11">
        <v>17</v>
      </c>
      <c r="M760" s="11">
        <v>14.4</v>
      </c>
      <c r="N760" s="11">
        <v>8.6999999999999993</v>
      </c>
      <c r="O760" s="11">
        <v>0.7</v>
      </c>
      <c r="P760" s="11">
        <v>-7.9</v>
      </c>
      <c r="Q760" s="11">
        <v>-15.1</v>
      </c>
      <c r="R760" s="10">
        <v>0.3</v>
      </c>
      <c r="S760" s="12">
        <v>278</v>
      </c>
      <c r="T760" s="8" t="s">
        <v>1667</v>
      </c>
      <c r="U760" s="11">
        <v>-46</v>
      </c>
      <c r="V760" s="11">
        <v>-42</v>
      </c>
      <c r="W760" s="11">
        <v>-41</v>
      </c>
      <c r="X760" s="11">
        <v>-37</v>
      </c>
      <c r="Y760" s="11">
        <v>-22</v>
      </c>
      <c r="Z760" s="11">
        <v>-52</v>
      </c>
      <c r="AA760" s="11">
        <v>10.1</v>
      </c>
      <c r="AB760" s="11">
        <v>172</v>
      </c>
      <c r="AC760" s="11">
        <v>-10.8</v>
      </c>
      <c r="AD760" s="11">
        <v>236</v>
      </c>
      <c r="AE760" s="11">
        <v>-6.8</v>
      </c>
      <c r="AF760" s="11">
        <v>255</v>
      </c>
      <c r="AG760" s="11">
        <v>-5.6</v>
      </c>
      <c r="AH760" s="11">
        <v>78</v>
      </c>
      <c r="AI760" s="11">
        <v>76</v>
      </c>
      <c r="AJ760" s="11">
        <v>118</v>
      </c>
      <c r="AK760" s="11" t="s">
        <v>27</v>
      </c>
      <c r="AL760" s="11" t="s">
        <v>44</v>
      </c>
      <c r="AM760" s="10">
        <v>2.9</v>
      </c>
      <c r="AN760" s="9">
        <v>296</v>
      </c>
      <c r="AO760" s="8" t="s">
        <v>1666</v>
      </c>
      <c r="AP760" s="8">
        <v>995</v>
      </c>
      <c r="AQ760" s="8">
        <v>21</v>
      </c>
      <c r="AR760" s="8">
        <v>25.2</v>
      </c>
      <c r="AS760" s="8">
        <v>23.4</v>
      </c>
      <c r="AT760" s="8">
        <v>36</v>
      </c>
      <c r="AU760" s="8">
        <v>12.1</v>
      </c>
      <c r="AV760" s="8">
        <v>71</v>
      </c>
      <c r="AW760" s="8">
        <v>56</v>
      </c>
      <c r="AX760" s="8">
        <v>381</v>
      </c>
      <c r="AY760" s="8">
        <v>58</v>
      </c>
      <c r="AZ760" s="8" t="s">
        <v>43</v>
      </c>
      <c r="BA760" s="7" t="s">
        <v>46</v>
      </c>
      <c r="BB760" s="9">
        <v>267</v>
      </c>
      <c r="BC760" s="8" t="s">
        <v>1665</v>
      </c>
      <c r="BD760" s="8">
        <v>1.6</v>
      </c>
      <c r="BE760" s="8">
        <v>1.6</v>
      </c>
      <c r="BF760" s="8">
        <v>2.7</v>
      </c>
      <c r="BG760" s="8">
        <v>4.8</v>
      </c>
      <c r="BH760" s="8">
        <v>6.9</v>
      </c>
      <c r="BI760" s="8">
        <v>10.7</v>
      </c>
      <c r="BJ760" s="8">
        <v>13.8</v>
      </c>
      <c r="BK760" s="8">
        <v>12.4</v>
      </c>
      <c r="BL760" s="8">
        <v>8.9</v>
      </c>
      <c r="BM760" s="8">
        <v>5.2</v>
      </c>
      <c r="BN760" s="8">
        <v>3.2</v>
      </c>
      <c r="BO760" s="8">
        <v>2</v>
      </c>
      <c r="BP760" s="7">
        <v>6.2</v>
      </c>
    </row>
    <row r="761" spans="1:68" ht="14.25" customHeight="1">
      <c r="A761" s="12">
        <v>104</v>
      </c>
      <c r="B761" s="14">
        <v>406</v>
      </c>
      <c r="C761" s="13" t="s">
        <v>30</v>
      </c>
      <c r="D761" s="13" t="s">
        <v>57</v>
      </c>
      <c r="E761" s="13" t="s">
        <v>1663</v>
      </c>
      <c r="F761" s="11">
        <v>-48.2</v>
      </c>
      <c r="G761" s="11">
        <v>-43.6</v>
      </c>
      <c r="H761" s="11">
        <v>-30.2</v>
      </c>
      <c r="I761" s="11">
        <v>-13.3</v>
      </c>
      <c r="J761" s="11">
        <v>2.1</v>
      </c>
      <c r="K761" s="11">
        <v>12.8</v>
      </c>
      <c r="L761" s="11">
        <v>15.2</v>
      </c>
      <c r="M761" s="11">
        <v>10.9</v>
      </c>
      <c r="N761" s="11">
        <v>2.5</v>
      </c>
      <c r="O761" s="11">
        <v>-14.5</v>
      </c>
      <c r="P761" s="11">
        <v>-36.4</v>
      </c>
      <c r="Q761" s="11">
        <v>-45.1</v>
      </c>
      <c r="R761" s="10">
        <v>-15.6</v>
      </c>
      <c r="S761" s="12">
        <v>406</v>
      </c>
      <c r="T761" s="8" t="s">
        <v>1663</v>
      </c>
      <c r="U761" s="11">
        <v>-63</v>
      </c>
      <c r="V761" s="11">
        <v>-61</v>
      </c>
      <c r="W761" s="11">
        <v>-62</v>
      </c>
      <c r="X761" s="11">
        <v>-59</v>
      </c>
      <c r="Y761" s="11">
        <v>-53</v>
      </c>
      <c r="Z761" s="11">
        <v>-68</v>
      </c>
      <c r="AA761" s="11">
        <v>7.3</v>
      </c>
      <c r="AB761" s="11">
        <v>234</v>
      </c>
      <c r="AC761" s="11">
        <v>-29.6</v>
      </c>
      <c r="AD761" s="11">
        <v>279</v>
      </c>
      <c r="AE761" s="11">
        <v>-24.1</v>
      </c>
      <c r="AF761" s="11">
        <v>292</v>
      </c>
      <c r="AG761" s="11">
        <v>-22.6</v>
      </c>
      <c r="AH761" s="11">
        <v>74</v>
      </c>
      <c r="AI761" s="11">
        <v>74</v>
      </c>
      <c r="AJ761" s="11">
        <v>37</v>
      </c>
      <c r="AK761" s="11" t="s">
        <v>39</v>
      </c>
      <c r="AL761" s="11">
        <v>2.1</v>
      </c>
      <c r="AM761" s="10">
        <v>1</v>
      </c>
      <c r="AN761" s="9">
        <v>406</v>
      </c>
      <c r="AO761" s="8" t="s">
        <v>1664</v>
      </c>
      <c r="AP761" s="8">
        <v>995</v>
      </c>
      <c r="AQ761" s="8">
        <v>20.7</v>
      </c>
      <c r="AR761" s="8">
        <v>25</v>
      </c>
      <c r="AS761" s="8">
        <v>22.1</v>
      </c>
      <c r="AT761" s="8">
        <v>36</v>
      </c>
      <c r="AU761" s="8">
        <v>13.8</v>
      </c>
      <c r="AV761" s="8">
        <v>63</v>
      </c>
      <c r="AW761" s="8">
        <v>56</v>
      </c>
      <c r="AX761" s="8">
        <v>137</v>
      </c>
      <c r="AY761" s="8">
        <v>33</v>
      </c>
      <c r="AZ761" s="8" t="s">
        <v>37</v>
      </c>
      <c r="BA761" s="7">
        <v>0</v>
      </c>
      <c r="BB761" s="9">
        <v>370</v>
      </c>
      <c r="BC761" s="8" t="s">
        <v>1663</v>
      </c>
      <c r="BD761" s="8">
        <v>0.1</v>
      </c>
      <c r="BE761" s="8">
        <v>0.2</v>
      </c>
      <c r="BF761" s="8">
        <v>0.5</v>
      </c>
      <c r="BG761" s="8">
        <v>1.7</v>
      </c>
      <c r="BH761" s="8">
        <v>4.3</v>
      </c>
      <c r="BI761" s="8">
        <v>8.1999999999999993</v>
      </c>
      <c r="BJ761" s="8">
        <v>10.5</v>
      </c>
      <c r="BK761" s="8">
        <v>9</v>
      </c>
      <c r="BL761" s="8">
        <v>5.4</v>
      </c>
      <c r="BM761" s="8">
        <v>2</v>
      </c>
      <c r="BN761" s="8">
        <v>0.3</v>
      </c>
      <c r="BO761" s="8">
        <v>0.1</v>
      </c>
      <c r="BP761" s="7">
        <v>3.5</v>
      </c>
    </row>
    <row r="762" spans="1:68" ht="14.25" customHeight="1">
      <c r="A762" s="12">
        <v>105</v>
      </c>
      <c r="B762" s="14">
        <v>407</v>
      </c>
      <c r="C762" s="13" t="s">
        <v>30</v>
      </c>
      <c r="D762" s="13" t="s">
        <v>57</v>
      </c>
      <c r="E762" s="13" t="s">
        <v>1661</v>
      </c>
      <c r="F762" s="11">
        <v>-37.799999999999997</v>
      </c>
      <c r="G762" s="11">
        <v>-32.1</v>
      </c>
      <c r="H762" s="11">
        <v>-20.2</v>
      </c>
      <c r="I762" s="11">
        <v>-7.5</v>
      </c>
      <c r="J762" s="11">
        <v>4.3</v>
      </c>
      <c r="K762" s="11">
        <v>14.4</v>
      </c>
      <c r="L762" s="11">
        <v>17.899999999999999</v>
      </c>
      <c r="M762" s="11">
        <v>14.1</v>
      </c>
      <c r="N762" s="11">
        <v>5.5</v>
      </c>
      <c r="O762" s="11">
        <v>-7.7</v>
      </c>
      <c r="P762" s="11">
        <v>-26.3</v>
      </c>
      <c r="Q762" s="11">
        <v>-35.9</v>
      </c>
      <c r="R762" s="10">
        <v>-9.3000000000000007</v>
      </c>
      <c r="S762" s="12">
        <v>407</v>
      </c>
      <c r="T762" s="8" t="s">
        <v>1661</v>
      </c>
      <c r="U762" s="11">
        <v>-58</v>
      </c>
      <c r="V762" s="11">
        <v>-56</v>
      </c>
      <c r="W762" s="11">
        <v>-53</v>
      </c>
      <c r="X762" s="11">
        <v>-52</v>
      </c>
      <c r="Y762" s="11">
        <v>-43</v>
      </c>
      <c r="Z762" s="11">
        <v>-61</v>
      </c>
      <c r="AA762" s="11">
        <v>8.3000000000000007</v>
      </c>
      <c r="AB762" s="11">
        <v>219</v>
      </c>
      <c r="AC762" s="11">
        <v>-22.7</v>
      </c>
      <c r="AD762" s="11">
        <v>262</v>
      </c>
      <c r="AE762" s="11">
        <v>-18.2</v>
      </c>
      <c r="AF762" s="11">
        <v>276</v>
      </c>
      <c r="AG762" s="11">
        <v>-16.899999999999999</v>
      </c>
      <c r="AH762" s="11">
        <v>75</v>
      </c>
      <c r="AI762" s="11">
        <v>75</v>
      </c>
      <c r="AJ762" s="11">
        <v>65</v>
      </c>
      <c r="AK762" s="11" t="s">
        <v>39</v>
      </c>
      <c r="AL762" s="11">
        <v>3</v>
      </c>
      <c r="AM762" s="10">
        <v>2.2000000000000002</v>
      </c>
      <c r="AN762" s="9">
        <v>407</v>
      </c>
      <c r="AO762" s="8" t="s">
        <v>1662</v>
      </c>
      <c r="AP762" s="8">
        <v>995</v>
      </c>
      <c r="AQ762" s="8">
        <v>22.8</v>
      </c>
      <c r="AR762" s="8">
        <v>26.5</v>
      </c>
      <c r="AS762" s="8">
        <v>24.5</v>
      </c>
      <c r="AT762" s="8">
        <v>37</v>
      </c>
      <c r="AU762" s="8">
        <v>12.8</v>
      </c>
      <c r="AV762" s="8">
        <v>61</v>
      </c>
      <c r="AW762" s="8">
        <v>51</v>
      </c>
      <c r="AX762" s="8">
        <v>207</v>
      </c>
      <c r="AY762" s="8">
        <v>71</v>
      </c>
      <c r="AZ762" s="8" t="s">
        <v>32</v>
      </c>
      <c r="BA762" s="7">
        <v>0</v>
      </c>
      <c r="BB762" s="9">
        <v>371</v>
      </c>
      <c r="BC762" s="8" t="s">
        <v>1661</v>
      </c>
      <c r="BD762" s="8">
        <v>0.3</v>
      </c>
      <c r="BE762" s="8">
        <v>0.4</v>
      </c>
      <c r="BF762" s="8">
        <v>1.1000000000000001</v>
      </c>
      <c r="BG762" s="8">
        <v>2.4</v>
      </c>
      <c r="BH762" s="8">
        <v>4.8</v>
      </c>
      <c r="BI762" s="8">
        <v>9.1999999999999993</v>
      </c>
      <c r="BJ762" s="8">
        <v>12.3</v>
      </c>
      <c r="BK762" s="8">
        <v>10.7</v>
      </c>
      <c r="BL762" s="8">
        <v>6.5</v>
      </c>
      <c r="BM762" s="8">
        <v>3</v>
      </c>
      <c r="BN762" s="8">
        <v>0.8</v>
      </c>
      <c r="BO762" s="8">
        <v>0.4</v>
      </c>
      <c r="BP762" s="7">
        <v>4.3</v>
      </c>
    </row>
    <row r="763" spans="1:68" ht="14.25" customHeight="1">
      <c r="A763" s="12">
        <v>106</v>
      </c>
      <c r="B763" s="14">
        <v>607</v>
      </c>
      <c r="C763" s="13" t="s">
        <v>52</v>
      </c>
      <c r="D763" s="13" t="s">
        <v>1660</v>
      </c>
      <c r="E763" s="13" t="s">
        <v>1658</v>
      </c>
      <c r="F763" s="11">
        <v>-5.8</v>
      </c>
      <c r="G763" s="11">
        <v>-4.3</v>
      </c>
      <c r="H763" s="11">
        <v>0.2</v>
      </c>
      <c r="I763" s="11">
        <v>8</v>
      </c>
      <c r="J763" s="11">
        <v>14.1</v>
      </c>
      <c r="K763" s="11">
        <v>17.100000000000001</v>
      </c>
      <c r="L763" s="11">
        <v>18.3</v>
      </c>
      <c r="M763" s="11">
        <v>17.7</v>
      </c>
      <c r="N763" s="11">
        <v>13.4</v>
      </c>
      <c r="O763" s="11">
        <v>7.6</v>
      </c>
      <c r="P763" s="11">
        <v>1.9</v>
      </c>
      <c r="Q763" s="11">
        <v>-2.5</v>
      </c>
      <c r="R763" s="10">
        <v>7.1</v>
      </c>
      <c r="S763" s="12">
        <v>596</v>
      </c>
      <c r="T763" s="8" t="s">
        <v>1658</v>
      </c>
      <c r="U763" s="11">
        <v>-29</v>
      </c>
      <c r="V763" s="11">
        <v>-26</v>
      </c>
      <c r="W763" s="11">
        <v>-25</v>
      </c>
      <c r="X763" s="11">
        <v>-21</v>
      </c>
      <c r="Y763" s="11">
        <v>-10</v>
      </c>
      <c r="Z763" s="11">
        <v>-36</v>
      </c>
      <c r="AA763" s="11" t="s">
        <v>49</v>
      </c>
      <c r="AB763" s="11">
        <v>107</v>
      </c>
      <c r="AC763" s="11">
        <v>-3.7</v>
      </c>
      <c r="AD763" s="11">
        <v>180</v>
      </c>
      <c r="AE763" s="11">
        <v>-0.7</v>
      </c>
      <c r="AF763" s="11">
        <v>198</v>
      </c>
      <c r="AG763" s="11">
        <v>0.2</v>
      </c>
      <c r="AH763" s="11" t="s">
        <v>49</v>
      </c>
      <c r="AI763" s="11" t="s">
        <v>49</v>
      </c>
      <c r="AJ763" s="11">
        <v>194</v>
      </c>
      <c r="AK763" s="11" t="s">
        <v>34</v>
      </c>
      <c r="AL763" s="11" t="s">
        <v>44</v>
      </c>
      <c r="AM763" s="10" t="s">
        <v>44</v>
      </c>
      <c r="AN763" s="9">
        <v>597</v>
      </c>
      <c r="AO763" s="8" t="s">
        <v>1659</v>
      </c>
      <c r="AP763" s="8">
        <v>980</v>
      </c>
      <c r="AQ763" s="8">
        <v>27</v>
      </c>
      <c r="AR763" s="8">
        <v>23</v>
      </c>
      <c r="AS763" s="8">
        <v>24</v>
      </c>
      <c r="AT763" s="8">
        <v>38</v>
      </c>
      <c r="AU763" s="8" t="s">
        <v>46</v>
      </c>
      <c r="AV763" s="8" t="s">
        <v>45</v>
      </c>
      <c r="AW763" s="8" t="s">
        <v>44</v>
      </c>
      <c r="AX763" s="8" t="s">
        <v>44</v>
      </c>
      <c r="AY763" s="8">
        <v>112</v>
      </c>
      <c r="AZ763" s="8" t="s">
        <v>54</v>
      </c>
      <c r="BA763" s="7">
        <v>1.3</v>
      </c>
      <c r="BB763" s="9"/>
      <c r="BC763" s="8" t="s">
        <v>1658</v>
      </c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7"/>
    </row>
    <row r="764" spans="1:68" ht="14.25" customHeight="1">
      <c r="A764" s="12">
        <v>107</v>
      </c>
      <c r="B764" s="14">
        <v>470</v>
      </c>
      <c r="C764" s="13" t="s">
        <v>774</v>
      </c>
      <c r="D764" s="13" t="s">
        <v>773</v>
      </c>
      <c r="E764" s="13" t="s">
        <v>1657</v>
      </c>
      <c r="F764" s="11">
        <v>-7.9</v>
      </c>
      <c r="G764" s="11">
        <v>-7.2</v>
      </c>
      <c r="H764" s="11">
        <v>-2.7</v>
      </c>
      <c r="I764" s="11">
        <v>5.0999999999999996</v>
      </c>
      <c r="J764" s="11">
        <v>12.6</v>
      </c>
      <c r="K764" s="11">
        <v>16</v>
      </c>
      <c r="L764" s="11">
        <v>17.8</v>
      </c>
      <c r="M764" s="11">
        <v>16.2</v>
      </c>
      <c r="N764" s="11">
        <v>11.1</v>
      </c>
      <c r="O764" s="11">
        <v>5.3</v>
      </c>
      <c r="P764" s="11">
        <v>-0.3</v>
      </c>
      <c r="Q764" s="11">
        <v>-5.0999999999999996</v>
      </c>
      <c r="R764" s="10">
        <v>5.0999999999999996</v>
      </c>
      <c r="S764" s="12">
        <v>470</v>
      </c>
      <c r="T764" s="8" t="s">
        <v>1655</v>
      </c>
      <c r="U764" s="11">
        <v>-36</v>
      </c>
      <c r="V764" s="11">
        <v>-31</v>
      </c>
      <c r="W764" s="11">
        <v>-30</v>
      </c>
      <c r="X764" s="11">
        <v>-25</v>
      </c>
      <c r="Y764" s="11">
        <v>-12</v>
      </c>
      <c r="Z764" s="11">
        <v>-41</v>
      </c>
      <c r="AA764" s="11">
        <v>6.2</v>
      </c>
      <c r="AB764" s="11">
        <v>135</v>
      </c>
      <c r="AC764" s="11">
        <v>-5.3</v>
      </c>
      <c r="AD764" s="11">
        <v>207</v>
      </c>
      <c r="AE764" s="11">
        <v>-2.1</v>
      </c>
      <c r="AF764" s="11">
        <v>225</v>
      </c>
      <c r="AG764" s="11">
        <v>-1.2</v>
      </c>
      <c r="AH764" s="11">
        <v>85</v>
      </c>
      <c r="AI764" s="11">
        <v>80</v>
      </c>
      <c r="AJ764" s="11">
        <v>202</v>
      </c>
      <c r="AK764" s="11" t="s">
        <v>34</v>
      </c>
      <c r="AL764" s="11">
        <v>4.8</v>
      </c>
      <c r="AM764" s="10">
        <v>4.3</v>
      </c>
      <c r="AN764" s="9">
        <v>470</v>
      </c>
      <c r="AO764" s="8" t="s">
        <v>1656</v>
      </c>
      <c r="AP764" s="8">
        <v>995</v>
      </c>
      <c r="AQ764" s="8">
        <v>21</v>
      </c>
      <c r="AR764" s="8">
        <v>25</v>
      </c>
      <c r="AS764" s="8">
        <v>23</v>
      </c>
      <c r="AT764" s="8">
        <v>35</v>
      </c>
      <c r="AU764" s="8">
        <v>10.3</v>
      </c>
      <c r="AV764" s="8">
        <v>74</v>
      </c>
      <c r="AW764" s="8">
        <v>61</v>
      </c>
      <c r="AX764" s="8">
        <v>463</v>
      </c>
      <c r="AY764" s="8">
        <v>107</v>
      </c>
      <c r="AZ764" s="8" t="s">
        <v>43</v>
      </c>
      <c r="BA764" s="7">
        <v>3.1</v>
      </c>
      <c r="BB764" s="9"/>
      <c r="BC764" s="8" t="s">
        <v>1655</v>
      </c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7"/>
    </row>
    <row r="765" spans="1:68" ht="14.25" customHeight="1">
      <c r="A765" s="12">
        <v>108</v>
      </c>
      <c r="B765" s="14">
        <v>408</v>
      </c>
      <c r="C765" s="13" t="s">
        <v>30</v>
      </c>
      <c r="D765" s="13" t="s">
        <v>57</v>
      </c>
      <c r="E765" s="13" t="s">
        <v>1653</v>
      </c>
      <c r="F765" s="11">
        <v>-29.2</v>
      </c>
      <c r="G765" s="11">
        <v>-26.9</v>
      </c>
      <c r="H765" s="11">
        <v>-16.100000000000001</v>
      </c>
      <c r="I765" s="11">
        <v>-3.9</v>
      </c>
      <c r="J765" s="11">
        <v>5.7</v>
      </c>
      <c r="K765" s="11">
        <v>14.3</v>
      </c>
      <c r="L765" s="11">
        <v>17.8</v>
      </c>
      <c r="M765" s="11">
        <v>14.2</v>
      </c>
      <c r="N765" s="11">
        <v>6.4</v>
      </c>
      <c r="O765" s="11">
        <v>-3.4</v>
      </c>
      <c r="P765" s="11">
        <v>-18.600000000000001</v>
      </c>
      <c r="Q765" s="11">
        <v>-27.6</v>
      </c>
      <c r="R765" s="10">
        <v>-5.6</v>
      </c>
      <c r="S765" s="12">
        <v>408</v>
      </c>
      <c r="T765" s="8" t="s">
        <v>1653</v>
      </c>
      <c r="U765" s="11">
        <v>-56</v>
      </c>
      <c r="V765" s="11">
        <v>-54</v>
      </c>
      <c r="W765" s="11">
        <v>-53</v>
      </c>
      <c r="X765" s="11">
        <v>-51</v>
      </c>
      <c r="Y765" s="11">
        <v>-34</v>
      </c>
      <c r="Z765" s="11">
        <v>-61</v>
      </c>
      <c r="AA765" s="11">
        <v>11.2</v>
      </c>
      <c r="AB765" s="11">
        <v>204</v>
      </c>
      <c r="AC765" s="11">
        <v>-18.2</v>
      </c>
      <c r="AD765" s="11">
        <v>257</v>
      </c>
      <c r="AE765" s="11">
        <v>-13.7</v>
      </c>
      <c r="AF765" s="11">
        <v>272</v>
      </c>
      <c r="AG765" s="11">
        <v>-12.4</v>
      </c>
      <c r="AH765" s="11">
        <v>76</v>
      </c>
      <c r="AI765" s="11">
        <v>74</v>
      </c>
      <c r="AJ765" s="11">
        <v>119</v>
      </c>
      <c r="AK765" s="11" t="s">
        <v>34</v>
      </c>
      <c r="AL765" s="11">
        <v>4.9000000000000004</v>
      </c>
      <c r="AM765" s="10">
        <v>2.4</v>
      </c>
      <c r="AN765" s="9">
        <v>408</v>
      </c>
      <c r="AO765" s="8" t="s">
        <v>1654</v>
      </c>
      <c r="AP765" s="8">
        <v>985</v>
      </c>
      <c r="AQ765" s="8">
        <v>22.2</v>
      </c>
      <c r="AR765" s="8">
        <v>26.3</v>
      </c>
      <c r="AS765" s="8">
        <v>25.1</v>
      </c>
      <c r="AT765" s="8">
        <v>37</v>
      </c>
      <c r="AU765" s="8">
        <v>14</v>
      </c>
      <c r="AV765" s="8">
        <v>72</v>
      </c>
      <c r="AW765" s="8">
        <v>63</v>
      </c>
      <c r="AX765" s="8">
        <v>306</v>
      </c>
      <c r="AY765" s="8">
        <v>57</v>
      </c>
      <c r="AZ765" s="8" t="s">
        <v>32</v>
      </c>
      <c r="BA765" s="7">
        <v>0</v>
      </c>
      <c r="BB765" s="9">
        <v>372</v>
      </c>
      <c r="BC765" s="8" t="s">
        <v>1653</v>
      </c>
      <c r="BD765" s="8">
        <v>0.7</v>
      </c>
      <c r="BE765" s="8">
        <v>0.8</v>
      </c>
      <c r="BF765" s="8">
        <v>1.6</v>
      </c>
      <c r="BG765" s="8">
        <v>3.2</v>
      </c>
      <c r="BH765" s="8">
        <v>5.6</v>
      </c>
      <c r="BI765" s="8">
        <v>10.7</v>
      </c>
      <c r="BJ765" s="8">
        <v>14.3</v>
      </c>
      <c r="BK765" s="8">
        <v>12.6</v>
      </c>
      <c r="BL765" s="8">
        <v>7.6</v>
      </c>
      <c r="BM765" s="8">
        <v>4</v>
      </c>
      <c r="BN765" s="8">
        <v>1.5</v>
      </c>
      <c r="BO765" s="8">
        <v>0.8</v>
      </c>
      <c r="BP765" s="7">
        <v>5.3</v>
      </c>
    </row>
    <row r="766" spans="1:68" ht="14.25" customHeight="1">
      <c r="A766" s="12">
        <v>109</v>
      </c>
      <c r="B766" s="14">
        <v>259</v>
      </c>
      <c r="C766" s="13" t="s">
        <v>30</v>
      </c>
      <c r="D766" s="13" t="s">
        <v>154</v>
      </c>
      <c r="E766" s="13" t="s">
        <v>1650</v>
      </c>
      <c r="F766" s="11">
        <v>-13.1</v>
      </c>
      <c r="G766" s="11">
        <v>-9.8000000000000007</v>
      </c>
      <c r="H766" s="11">
        <v>-2.4</v>
      </c>
      <c r="I766" s="11">
        <v>4.8</v>
      </c>
      <c r="J766" s="11">
        <v>9.9</v>
      </c>
      <c r="K766" s="11">
        <v>13.8</v>
      </c>
      <c r="L766" s="11">
        <v>18.5</v>
      </c>
      <c r="M766" s="11">
        <v>21</v>
      </c>
      <c r="N766" s="11">
        <v>16.8</v>
      </c>
      <c r="O766" s="11">
        <v>9.6999999999999993</v>
      </c>
      <c r="P766" s="11">
        <v>-0.3</v>
      </c>
      <c r="Q766" s="11">
        <v>-9.1999999999999993</v>
      </c>
      <c r="R766" s="10">
        <v>5</v>
      </c>
      <c r="S766" s="12">
        <v>259</v>
      </c>
      <c r="T766" s="8" t="s">
        <v>1652</v>
      </c>
      <c r="U766" s="11">
        <v>-27</v>
      </c>
      <c r="V766" s="11">
        <v>-26</v>
      </c>
      <c r="W766" s="11">
        <v>-25</v>
      </c>
      <c r="X766" s="11">
        <v>-24</v>
      </c>
      <c r="Y766" s="11">
        <v>-18</v>
      </c>
      <c r="Z766" s="11">
        <v>-30</v>
      </c>
      <c r="AA766" s="11">
        <v>8.6999999999999993</v>
      </c>
      <c r="AB766" s="11">
        <v>132</v>
      </c>
      <c r="AC766" s="11">
        <v>-7.7</v>
      </c>
      <c r="AD766" s="11">
        <v>196</v>
      </c>
      <c r="AE766" s="11">
        <v>-3.9</v>
      </c>
      <c r="AF766" s="11">
        <v>214</v>
      </c>
      <c r="AG766" s="11">
        <v>-2.7</v>
      </c>
      <c r="AH766" s="11">
        <v>61</v>
      </c>
      <c r="AI766" s="11">
        <v>58</v>
      </c>
      <c r="AJ766" s="11">
        <v>129</v>
      </c>
      <c r="AK766" s="11" t="s">
        <v>56</v>
      </c>
      <c r="AL766" s="11">
        <v>9</v>
      </c>
      <c r="AM766" s="10">
        <v>6.9</v>
      </c>
      <c r="AN766" s="9">
        <v>259</v>
      </c>
      <c r="AO766" s="8" t="s">
        <v>1651</v>
      </c>
      <c r="AP766" s="8">
        <v>1010</v>
      </c>
      <c r="AQ766" s="8">
        <v>21.4</v>
      </c>
      <c r="AR766" s="8">
        <v>24.5</v>
      </c>
      <c r="AS766" s="8">
        <v>24.8</v>
      </c>
      <c r="AT766" s="8">
        <v>35</v>
      </c>
      <c r="AU766" s="8">
        <v>6.5</v>
      </c>
      <c r="AV766" s="8">
        <v>84</v>
      </c>
      <c r="AW766" s="8">
        <v>81</v>
      </c>
      <c r="AX766" s="8">
        <v>641</v>
      </c>
      <c r="AY766" s="8">
        <v>210</v>
      </c>
      <c r="AZ766" s="8" t="s">
        <v>25</v>
      </c>
      <c r="BA766" s="7">
        <v>4.7</v>
      </c>
      <c r="BB766" s="9">
        <v>230</v>
      </c>
      <c r="BC766" s="8" t="s">
        <v>1650</v>
      </c>
      <c r="BD766" s="8">
        <v>1.6</v>
      </c>
      <c r="BE766" s="8">
        <v>2</v>
      </c>
      <c r="BF766" s="8">
        <v>3.5</v>
      </c>
      <c r="BG766" s="8">
        <v>5.9</v>
      </c>
      <c r="BH766" s="8">
        <v>9.1999999999999993</v>
      </c>
      <c r="BI766" s="8">
        <v>13.8</v>
      </c>
      <c r="BJ766" s="8">
        <v>19</v>
      </c>
      <c r="BK766" s="8">
        <v>21</v>
      </c>
      <c r="BL766" s="8">
        <v>14.8</v>
      </c>
      <c r="BM766" s="8">
        <v>8.6999999999999993</v>
      </c>
      <c r="BN766" s="8">
        <v>4.2</v>
      </c>
      <c r="BO766" s="8">
        <v>2.2000000000000002</v>
      </c>
      <c r="BP766" s="7">
        <v>8.8000000000000007</v>
      </c>
    </row>
    <row r="767" spans="1:68" ht="14.25" customHeight="1">
      <c r="A767" s="12">
        <v>110</v>
      </c>
      <c r="B767" s="14">
        <v>302</v>
      </c>
      <c r="C767" s="13" t="s">
        <v>30</v>
      </c>
      <c r="D767" s="13" t="s">
        <v>1649</v>
      </c>
      <c r="E767" s="13" t="s">
        <v>1646</v>
      </c>
      <c r="F767" s="11">
        <v>-4.4000000000000004</v>
      </c>
      <c r="G767" s="11">
        <v>-3</v>
      </c>
      <c r="H767" s="11">
        <v>1.4</v>
      </c>
      <c r="I767" s="11">
        <v>9</v>
      </c>
      <c r="J767" s="11">
        <v>14.2</v>
      </c>
      <c r="K767" s="11">
        <v>17.600000000000001</v>
      </c>
      <c r="L767" s="11">
        <v>19.899999999999999</v>
      </c>
      <c r="M767" s="11">
        <v>19.3</v>
      </c>
      <c r="N767" s="11">
        <v>14.8</v>
      </c>
      <c r="O767" s="11">
        <v>8.6999999999999993</v>
      </c>
      <c r="P767" s="11">
        <v>3.1</v>
      </c>
      <c r="Q767" s="11">
        <v>-1.6</v>
      </c>
      <c r="R767" s="10">
        <v>8.1</v>
      </c>
      <c r="S767" s="12">
        <v>302</v>
      </c>
      <c r="T767" s="8" t="s">
        <v>1648</v>
      </c>
      <c r="U767" s="11">
        <v>-24</v>
      </c>
      <c r="V767" s="11">
        <v>-20</v>
      </c>
      <c r="W767" s="11">
        <v>-20</v>
      </c>
      <c r="X767" s="11">
        <v>-18</v>
      </c>
      <c r="Y767" s="11">
        <v>-9</v>
      </c>
      <c r="Z767" s="11">
        <v>-28</v>
      </c>
      <c r="AA767" s="11">
        <v>9.5</v>
      </c>
      <c r="AB767" s="11">
        <v>91</v>
      </c>
      <c r="AC767" s="11">
        <v>-2.7</v>
      </c>
      <c r="AD767" s="11">
        <v>174</v>
      </c>
      <c r="AE767" s="11">
        <v>0.4</v>
      </c>
      <c r="AF767" s="11">
        <v>194</v>
      </c>
      <c r="AG767" s="11">
        <v>1.3</v>
      </c>
      <c r="AH767" s="11">
        <v>82</v>
      </c>
      <c r="AI767" s="11">
        <v>77</v>
      </c>
      <c r="AJ767" s="11">
        <v>163</v>
      </c>
      <c r="AK767" s="11" t="s">
        <v>27</v>
      </c>
      <c r="AL767" s="11">
        <v>3</v>
      </c>
      <c r="AM767" s="10">
        <v>1.6</v>
      </c>
      <c r="AN767" s="9">
        <v>302</v>
      </c>
      <c r="AO767" s="8" t="s">
        <v>1647</v>
      </c>
      <c r="AP767" s="8">
        <v>940</v>
      </c>
      <c r="AQ767" s="8">
        <v>23</v>
      </c>
      <c r="AR767" s="8">
        <v>27.1</v>
      </c>
      <c r="AS767" s="8">
        <v>25.4</v>
      </c>
      <c r="AT767" s="8">
        <v>38</v>
      </c>
      <c r="AU767" s="8">
        <v>10.4</v>
      </c>
      <c r="AV767" s="8">
        <v>75</v>
      </c>
      <c r="AW767" s="8">
        <v>61</v>
      </c>
      <c r="AX767" s="8">
        <v>721</v>
      </c>
      <c r="AY767" s="8">
        <v>131</v>
      </c>
      <c r="AZ767" s="8" t="s">
        <v>151</v>
      </c>
      <c r="BA767" s="7">
        <v>0</v>
      </c>
      <c r="BB767" s="9">
        <v>273</v>
      </c>
      <c r="BC767" s="8" t="s">
        <v>1646</v>
      </c>
      <c r="BD767" s="8">
        <v>3.8</v>
      </c>
      <c r="BE767" s="8">
        <v>4.3</v>
      </c>
      <c r="BF767" s="8">
        <v>5.6</v>
      </c>
      <c r="BG767" s="8">
        <v>8.3000000000000007</v>
      </c>
      <c r="BH767" s="8">
        <v>12.3</v>
      </c>
      <c r="BI767" s="8">
        <v>15</v>
      </c>
      <c r="BJ767" s="8">
        <v>17.3</v>
      </c>
      <c r="BK767" s="8">
        <v>16.899999999999999</v>
      </c>
      <c r="BL767" s="8">
        <v>13.2</v>
      </c>
      <c r="BM767" s="8">
        <v>9.1</v>
      </c>
      <c r="BN767" s="8">
        <v>6.4</v>
      </c>
      <c r="BO767" s="8">
        <v>4.5999999999999996</v>
      </c>
      <c r="BP767" s="7">
        <v>9.6999999999999993</v>
      </c>
    </row>
    <row r="768" spans="1:68" ht="14.25" customHeight="1">
      <c r="A768" s="12">
        <v>111</v>
      </c>
      <c r="B768" s="14">
        <v>64</v>
      </c>
      <c r="C768" s="13" t="s">
        <v>30</v>
      </c>
      <c r="D768" s="13" t="s">
        <v>991</v>
      </c>
      <c r="E768" s="13" t="s">
        <v>1643</v>
      </c>
      <c r="F768" s="11">
        <v>-11.1</v>
      </c>
      <c r="G768" s="11">
        <v>-10</v>
      </c>
      <c r="H768" s="11">
        <v>-4.3</v>
      </c>
      <c r="I768" s="11">
        <v>4.9000000000000004</v>
      </c>
      <c r="J768" s="11">
        <v>12.2</v>
      </c>
      <c r="K768" s="11">
        <v>16.600000000000001</v>
      </c>
      <c r="L768" s="11">
        <v>17.899999999999999</v>
      </c>
      <c r="M768" s="11">
        <v>16.399999999999999</v>
      </c>
      <c r="N768" s="11">
        <v>10.7</v>
      </c>
      <c r="O768" s="11">
        <v>3.7</v>
      </c>
      <c r="P768" s="11">
        <v>-2.7</v>
      </c>
      <c r="Q768" s="11">
        <v>-7.5</v>
      </c>
      <c r="R768" s="10">
        <v>3.9</v>
      </c>
      <c r="S768" s="12">
        <v>64</v>
      </c>
      <c r="T768" s="8" t="s">
        <v>1645</v>
      </c>
      <c r="U768" s="11">
        <v>-38</v>
      </c>
      <c r="V768" s="11">
        <v>-34</v>
      </c>
      <c r="W768" s="11">
        <v>-32</v>
      </c>
      <c r="X768" s="11">
        <v>-28</v>
      </c>
      <c r="Y768" s="11">
        <v>-16</v>
      </c>
      <c r="Z768" s="11">
        <v>-48</v>
      </c>
      <c r="AA768" s="11">
        <v>6.3</v>
      </c>
      <c r="AB768" s="11">
        <v>148</v>
      </c>
      <c r="AC768" s="11">
        <v>-6.9</v>
      </c>
      <c r="AD768" s="11">
        <v>213</v>
      </c>
      <c r="AE768" s="11">
        <v>-3.5</v>
      </c>
      <c r="AF768" s="11">
        <v>230</v>
      </c>
      <c r="AG768" s="11">
        <v>-2.6</v>
      </c>
      <c r="AH768" s="11">
        <v>84</v>
      </c>
      <c r="AI768" s="11">
        <v>83</v>
      </c>
      <c r="AJ768" s="11">
        <v>194</v>
      </c>
      <c r="AK768" s="11" t="s">
        <v>34</v>
      </c>
      <c r="AL768" s="11">
        <v>4.5</v>
      </c>
      <c r="AM768" s="10">
        <v>3.4</v>
      </c>
      <c r="AN768" s="9">
        <v>64</v>
      </c>
      <c r="AO768" s="8" t="s">
        <v>1644</v>
      </c>
      <c r="AP768" s="8">
        <v>995</v>
      </c>
      <c r="AQ768" s="8">
        <v>20.8</v>
      </c>
      <c r="AR768" s="8">
        <v>25</v>
      </c>
      <c r="AS768" s="8">
        <v>23.3</v>
      </c>
      <c r="AT768" s="8">
        <v>37</v>
      </c>
      <c r="AU768" s="8">
        <v>9.8000000000000007</v>
      </c>
      <c r="AV768" s="8">
        <v>72</v>
      </c>
      <c r="AW768" s="8">
        <v>57</v>
      </c>
      <c r="AX768" s="8">
        <v>413</v>
      </c>
      <c r="AY768" s="8">
        <v>109</v>
      </c>
      <c r="AZ768" s="8" t="s">
        <v>32</v>
      </c>
      <c r="BA768" s="7">
        <v>3.3</v>
      </c>
      <c r="BB768" s="9">
        <v>50</v>
      </c>
      <c r="BC768" s="8" t="s">
        <v>1643</v>
      </c>
      <c r="BD768" s="8">
        <v>2.6</v>
      </c>
      <c r="BE768" s="8">
        <v>2.6</v>
      </c>
      <c r="BF768" s="8">
        <v>3.6</v>
      </c>
      <c r="BG768" s="8">
        <v>6.1</v>
      </c>
      <c r="BH768" s="8">
        <v>9</v>
      </c>
      <c r="BI768" s="8">
        <v>12.4</v>
      </c>
      <c r="BJ768" s="8">
        <v>14.6</v>
      </c>
      <c r="BK768" s="8">
        <v>14.3</v>
      </c>
      <c r="BL768" s="8">
        <v>10.199999999999999</v>
      </c>
      <c r="BM768" s="8">
        <v>6.8</v>
      </c>
      <c r="BN768" s="8">
        <v>4.7</v>
      </c>
      <c r="BO768" s="8">
        <v>3.5</v>
      </c>
      <c r="BP768" s="7">
        <v>7.5</v>
      </c>
    </row>
    <row r="769" spans="1:68" ht="14.25" customHeight="1">
      <c r="A769" s="12">
        <v>112</v>
      </c>
      <c r="B769" s="14">
        <v>66</v>
      </c>
      <c r="C769" s="13" t="s">
        <v>30</v>
      </c>
      <c r="D769" s="13" t="s">
        <v>91</v>
      </c>
      <c r="E769" s="13" t="s">
        <v>1640</v>
      </c>
      <c r="F769" s="11">
        <v>-7.6</v>
      </c>
      <c r="G769" s="11">
        <v>-7</v>
      </c>
      <c r="H769" s="11">
        <v>-1</v>
      </c>
      <c r="I769" s="11">
        <v>10</v>
      </c>
      <c r="J769" s="11">
        <v>16.7</v>
      </c>
      <c r="K769" s="11">
        <v>21.3</v>
      </c>
      <c r="L769" s="11">
        <v>23.6</v>
      </c>
      <c r="M769" s="11">
        <v>22.1</v>
      </c>
      <c r="N769" s="11">
        <v>16</v>
      </c>
      <c r="O769" s="11">
        <v>8</v>
      </c>
      <c r="P769" s="11">
        <v>-0.6</v>
      </c>
      <c r="Q769" s="11">
        <v>-4.2</v>
      </c>
      <c r="R769" s="10">
        <v>8.1999999999999993</v>
      </c>
      <c r="S769" s="12">
        <v>66</v>
      </c>
      <c r="T769" s="8" t="s">
        <v>1642</v>
      </c>
      <c r="U769" s="11">
        <v>-33</v>
      </c>
      <c r="V769" s="11">
        <v>-30</v>
      </c>
      <c r="W769" s="11">
        <v>-28</v>
      </c>
      <c r="X769" s="11">
        <v>-25</v>
      </c>
      <c r="Y769" s="11">
        <v>-14</v>
      </c>
      <c r="Z769" s="11">
        <v>-35</v>
      </c>
      <c r="AA769" s="11">
        <v>5.6</v>
      </c>
      <c r="AB769" s="11">
        <v>117</v>
      </c>
      <c r="AC769" s="11">
        <v>-5.4</v>
      </c>
      <c r="AD769" s="11">
        <v>178</v>
      </c>
      <c r="AE769" s="11">
        <v>-2.2000000000000002</v>
      </c>
      <c r="AF769" s="11">
        <v>190</v>
      </c>
      <c r="AG769" s="11">
        <v>-1.5</v>
      </c>
      <c r="AH769" s="11">
        <v>85</v>
      </c>
      <c r="AI769" s="11">
        <v>83</v>
      </c>
      <c r="AJ769" s="11">
        <v>174</v>
      </c>
      <c r="AK769" s="11" t="s">
        <v>199</v>
      </c>
      <c r="AL769" s="11">
        <v>8.1</v>
      </c>
      <c r="AM769" s="10">
        <v>4.4000000000000004</v>
      </c>
      <c r="AN769" s="9">
        <v>66</v>
      </c>
      <c r="AO769" s="8" t="s">
        <v>1641</v>
      </c>
      <c r="AP769" s="8">
        <v>1000</v>
      </c>
      <c r="AQ769" s="8">
        <v>27.6</v>
      </c>
      <c r="AR769" s="8">
        <v>31.3</v>
      </c>
      <c r="AS769" s="8">
        <v>30</v>
      </c>
      <c r="AT769" s="8">
        <v>44</v>
      </c>
      <c r="AU769" s="8">
        <v>11.6</v>
      </c>
      <c r="AV769" s="8">
        <v>51</v>
      </c>
      <c r="AW769" s="8">
        <v>33</v>
      </c>
      <c r="AX769" s="8">
        <v>212</v>
      </c>
      <c r="AY769" s="8">
        <v>82</v>
      </c>
      <c r="AZ769" s="8" t="s">
        <v>54</v>
      </c>
      <c r="BA769" s="7">
        <v>5.2</v>
      </c>
      <c r="BB769" s="9">
        <v>52</v>
      </c>
      <c r="BC769" s="8" t="s">
        <v>1640</v>
      </c>
      <c r="BD769" s="8">
        <v>3</v>
      </c>
      <c r="BE769" s="8">
        <v>3.3</v>
      </c>
      <c r="BF769" s="8">
        <v>4.8</v>
      </c>
      <c r="BG769" s="8">
        <v>7.1</v>
      </c>
      <c r="BH769" s="8">
        <v>9.9</v>
      </c>
      <c r="BI769" s="8">
        <v>12.8</v>
      </c>
      <c r="BJ769" s="8">
        <v>14</v>
      </c>
      <c r="BK769" s="8">
        <v>12.8</v>
      </c>
      <c r="BL769" s="8">
        <v>10.199999999999999</v>
      </c>
      <c r="BM769" s="8">
        <v>7.4</v>
      </c>
      <c r="BN769" s="8">
        <v>6</v>
      </c>
      <c r="BO769" s="8">
        <v>4.4000000000000004</v>
      </c>
      <c r="BP769" s="7">
        <v>8</v>
      </c>
    </row>
    <row r="770" spans="1:68" ht="14.25" customHeight="1">
      <c r="A770" s="12">
        <v>113</v>
      </c>
      <c r="B770" s="14">
        <v>73</v>
      </c>
      <c r="C770" s="13" t="s">
        <v>30</v>
      </c>
      <c r="D770" s="13" t="s">
        <v>422</v>
      </c>
      <c r="E770" s="13" t="s">
        <v>1637</v>
      </c>
      <c r="F770" s="11">
        <v>-12.6</v>
      </c>
      <c r="G770" s="11">
        <v>-11.6</v>
      </c>
      <c r="H770" s="11">
        <v>-5.9</v>
      </c>
      <c r="I770" s="11">
        <v>2.2999999999999998</v>
      </c>
      <c r="J770" s="11">
        <v>9.6</v>
      </c>
      <c r="K770" s="11">
        <v>14.9</v>
      </c>
      <c r="L770" s="11">
        <v>16.8</v>
      </c>
      <c r="M770" s="11">
        <v>15</v>
      </c>
      <c r="N770" s="11">
        <v>9.1</v>
      </c>
      <c r="O770" s="11">
        <v>2.5</v>
      </c>
      <c r="P770" s="11">
        <v>-3.5</v>
      </c>
      <c r="Q770" s="11">
        <v>-8.9</v>
      </c>
      <c r="R770" s="10">
        <v>2.2999999999999998</v>
      </c>
      <c r="S770" s="12">
        <v>73</v>
      </c>
      <c r="T770" s="8" t="s">
        <v>1639</v>
      </c>
      <c r="U770" s="11">
        <v>-42</v>
      </c>
      <c r="V770" s="11">
        <v>-37</v>
      </c>
      <c r="W770" s="11">
        <v>-38</v>
      </c>
      <c r="X770" s="11">
        <v>-32</v>
      </c>
      <c r="Y770" s="11">
        <v>-17</v>
      </c>
      <c r="Z770" s="11">
        <v>-47</v>
      </c>
      <c r="AA770" s="11">
        <v>7.2</v>
      </c>
      <c r="AB770" s="11">
        <v>160</v>
      </c>
      <c r="AC770" s="11">
        <v>-7.7</v>
      </c>
      <c r="AD770" s="11">
        <v>231</v>
      </c>
      <c r="AE770" s="11">
        <v>-4.0999999999999996</v>
      </c>
      <c r="AF770" s="11">
        <v>250</v>
      </c>
      <c r="AG770" s="11">
        <v>-3.1</v>
      </c>
      <c r="AH770" s="11">
        <v>85</v>
      </c>
      <c r="AI770" s="11">
        <v>82</v>
      </c>
      <c r="AJ770" s="11">
        <v>171</v>
      </c>
      <c r="AK770" s="11" t="s">
        <v>39</v>
      </c>
      <c r="AL770" s="11">
        <v>6</v>
      </c>
      <c r="AM770" s="10">
        <v>4.4000000000000004</v>
      </c>
      <c r="AN770" s="9">
        <v>73</v>
      </c>
      <c r="AO770" s="8" t="s">
        <v>1638</v>
      </c>
      <c r="AP770" s="8">
        <v>995</v>
      </c>
      <c r="AQ770" s="8">
        <v>21.2</v>
      </c>
      <c r="AR770" s="8">
        <v>25.3</v>
      </c>
      <c r="AS770" s="8">
        <v>22.3</v>
      </c>
      <c r="AT770" s="8">
        <v>39</v>
      </c>
      <c r="AU770" s="8">
        <v>11</v>
      </c>
      <c r="AV770" s="8">
        <v>76</v>
      </c>
      <c r="AW770" s="8">
        <v>60</v>
      </c>
      <c r="AX770" s="8">
        <v>417</v>
      </c>
      <c r="AY770" s="8">
        <v>74</v>
      </c>
      <c r="AZ770" s="8" t="s">
        <v>43</v>
      </c>
      <c r="BA770" s="7">
        <v>0</v>
      </c>
      <c r="BB770" s="9">
        <v>58</v>
      </c>
      <c r="BC770" s="8" t="s">
        <v>1637</v>
      </c>
      <c r="BD770" s="8">
        <v>2.4</v>
      </c>
      <c r="BE770" s="8">
        <v>2.5</v>
      </c>
      <c r="BF770" s="8">
        <v>3.4</v>
      </c>
      <c r="BG770" s="8">
        <v>5.6</v>
      </c>
      <c r="BH770" s="8">
        <v>8.1999999999999993</v>
      </c>
      <c r="BI770" s="8">
        <v>12</v>
      </c>
      <c r="BJ770" s="8">
        <v>14.6</v>
      </c>
      <c r="BK770" s="8">
        <v>13.8</v>
      </c>
      <c r="BL770" s="8">
        <v>9.8000000000000007</v>
      </c>
      <c r="BM770" s="8">
        <v>6.6</v>
      </c>
      <c r="BN770" s="8">
        <v>4.5</v>
      </c>
      <c r="BO770" s="8">
        <v>3.2</v>
      </c>
      <c r="BP770" s="7">
        <v>7.2</v>
      </c>
    </row>
    <row r="771" spans="1:68" ht="14.25" customHeight="1">
      <c r="A771" s="12">
        <v>114</v>
      </c>
      <c r="B771" s="14">
        <v>177</v>
      </c>
      <c r="C771" s="13" t="s">
        <v>30</v>
      </c>
      <c r="D771" s="13" t="s">
        <v>29</v>
      </c>
      <c r="E771" s="13" t="s">
        <v>1634</v>
      </c>
      <c r="F771" s="11">
        <v>-31.2</v>
      </c>
      <c r="G771" s="11">
        <v>-29.7</v>
      </c>
      <c r="H771" s="11">
        <v>-25.7</v>
      </c>
      <c r="I771" s="11">
        <v>-15.8</v>
      </c>
      <c r="J771" s="11">
        <v>-6.1</v>
      </c>
      <c r="K771" s="11">
        <v>5.9</v>
      </c>
      <c r="L771" s="11">
        <v>13</v>
      </c>
      <c r="M771" s="11">
        <v>9.4</v>
      </c>
      <c r="N771" s="11">
        <v>2.4</v>
      </c>
      <c r="O771" s="11">
        <v>-1.6</v>
      </c>
      <c r="P771" s="11">
        <v>-25.2</v>
      </c>
      <c r="Q771" s="11">
        <v>-27.8</v>
      </c>
      <c r="R771" s="10">
        <v>-11.9</v>
      </c>
      <c r="S771" s="12">
        <v>177</v>
      </c>
      <c r="T771" s="8" t="s">
        <v>1636</v>
      </c>
      <c r="U771" s="11">
        <v>-56</v>
      </c>
      <c r="V771" s="11">
        <v>-53</v>
      </c>
      <c r="W771" s="11">
        <v>-53</v>
      </c>
      <c r="X771" s="11">
        <v>-50</v>
      </c>
      <c r="Y771" s="11">
        <v>-36</v>
      </c>
      <c r="Z771" s="11">
        <v>-59</v>
      </c>
      <c r="AA771" s="11">
        <v>9.5</v>
      </c>
      <c r="AB771" s="11">
        <v>253</v>
      </c>
      <c r="AC771" s="11">
        <v>-20.399999999999999</v>
      </c>
      <c r="AD771" s="11">
        <v>306</v>
      </c>
      <c r="AE771" s="11">
        <v>-16.100000000000001</v>
      </c>
      <c r="AF771" s="11">
        <v>326</v>
      </c>
      <c r="AG771" s="11">
        <v>-14.5</v>
      </c>
      <c r="AH771" s="11">
        <v>76</v>
      </c>
      <c r="AI771" s="11">
        <v>76</v>
      </c>
      <c r="AJ771" s="11">
        <v>97</v>
      </c>
      <c r="AK771" s="11" t="s">
        <v>48</v>
      </c>
      <c r="AL771" s="11">
        <v>6.1</v>
      </c>
      <c r="AM771" s="10">
        <v>3.8</v>
      </c>
      <c r="AN771" s="9">
        <v>177</v>
      </c>
      <c r="AO771" s="8" t="s">
        <v>1635</v>
      </c>
      <c r="AP771" s="8">
        <v>1005</v>
      </c>
      <c r="AQ771" s="8">
        <v>15.6</v>
      </c>
      <c r="AR771" s="8">
        <v>20.100000000000001</v>
      </c>
      <c r="AS771" s="8">
        <v>18</v>
      </c>
      <c r="AT771" s="8">
        <v>36</v>
      </c>
      <c r="AU771" s="8">
        <v>9.1999999999999993</v>
      </c>
      <c r="AV771" s="8">
        <v>70</v>
      </c>
      <c r="AW771" s="8">
        <v>61</v>
      </c>
      <c r="AX771" s="8">
        <v>256</v>
      </c>
      <c r="AY771" s="8" t="s">
        <v>64</v>
      </c>
      <c r="AZ771" s="8" t="s">
        <v>43</v>
      </c>
      <c r="BA771" s="7">
        <v>4.5</v>
      </c>
      <c r="BB771" s="9">
        <v>156</v>
      </c>
      <c r="BC771" s="8" t="s">
        <v>1634</v>
      </c>
      <c r="BD771" s="8">
        <v>0.6</v>
      </c>
      <c r="BE771" s="8">
        <v>0.6</v>
      </c>
      <c r="BF771" s="8">
        <v>0.9</v>
      </c>
      <c r="BG771" s="8">
        <v>1.7</v>
      </c>
      <c r="BH771" s="8">
        <v>3.2</v>
      </c>
      <c r="BI771" s="8">
        <v>7.1</v>
      </c>
      <c r="BJ771" s="8">
        <v>10.6</v>
      </c>
      <c r="BK771" s="8">
        <v>9.3000000000000007</v>
      </c>
      <c r="BL771" s="8">
        <v>6.3</v>
      </c>
      <c r="BM771" s="8">
        <v>2.6</v>
      </c>
      <c r="BN771" s="8">
        <v>1</v>
      </c>
      <c r="BO771" s="8">
        <v>0.8</v>
      </c>
      <c r="BP771" s="7">
        <v>3.7</v>
      </c>
    </row>
    <row r="772" spans="1:68" ht="14.25" customHeight="1">
      <c r="A772" s="12">
        <v>115</v>
      </c>
      <c r="B772" s="14">
        <v>151</v>
      </c>
      <c r="C772" s="13" t="s">
        <v>30</v>
      </c>
      <c r="D772" s="13" t="s">
        <v>280</v>
      </c>
      <c r="E772" s="13" t="s">
        <v>1631</v>
      </c>
      <c r="F772" s="11">
        <v>-20.3</v>
      </c>
      <c r="G772" s="11">
        <v>-20.6</v>
      </c>
      <c r="H772" s="11">
        <v>-16.5</v>
      </c>
      <c r="I772" s="11">
        <v>-9</v>
      </c>
      <c r="J772" s="11">
        <v>-2.8</v>
      </c>
      <c r="K772" s="11">
        <v>5.8</v>
      </c>
      <c r="L772" s="11">
        <v>12.4</v>
      </c>
      <c r="M772" s="11">
        <v>9.5</v>
      </c>
      <c r="N772" s="11">
        <v>3.8</v>
      </c>
      <c r="O772" s="11">
        <v>-5.0999999999999996</v>
      </c>
      <c r="P772" s="11">
        <v>-13.6</v>
      </c>
      <c r="Q772" s="11">
        <v>-15.7</v>
      </c>
      <c r="R772" s="10">
        <v>-6</v>
      </c>
      <c r="S772" s="12">
        <v>151</v>
      </c>
      <c r="T772" s="8" t="s">
        <v>1633</v>
      </c>
      <c r="U772" s="11">
        <v>-46</v>
      </c>
      <c r="V772" s="11">
        <v>-45</v>
      </c>
      <c r="W772" s="11">
        <v>-43</v>
      </c>
      <c r="X772" s="11">
        <v>-41</v>
      </c>
      <c r="Y772" s="11">
        <v>-26</v>
      </c>
      <c r="Z772" s="11">
        <v>-52</v>
      </c>
      <c r="AA772" s="11">
        <v>8.6</v>
      </c>
      <c r="AB772" s="11">
        <v>239</v>
      </c>
      <c r="AC772" s="11">
        <v>-12.8</v>
      </c>
      <c r="AD772" s="11">
        <v>306</v>
      </c>
      <c r="AE772" s="11">
        <v>-9.1</v>
      </c>
      <c r="AF772" s="11">
        <v>328</v>
      </c>
      <c r="AG772" s="11">
        <v>-7.8</v>
      </c>
      <c r="AH772" s="11">
        <v>81</v>
      </c>
      <c r="AI772" s="11">
        <v>81</v>
      </c>
      <c r="AJ772" s="11">
        <v>178</v>
      </c>
      <c r="AK772" s="11" t="s">
        <v>34</v>
      </c>
      <c r="AL772" s="11">
        <v>10.1</v>
      </c>
      <c r="AM772" s="10">
        <v>5.8</v>
      </c>
      <c r="AN772" s="9">
        <v>151</v>
      </c>
      <c r="AO772" s="8" t="s">
        <v>1632</v>
      </c>
      <c r="AP772" s="8">
        <v>990</v>
      </c>
      <c r="AQ772" s="8">
        <v>15.6</v>
      </c>
      <c r="AR772" s="8">
        <v>20.3</v>
      </c>
      <c r="AS772" s="8">
        <v>18</v>
      </c>
      <c r="AT772" s="8">
        <v>31</v>
      </c>
      <c r="AU772" s="8">
        <v>10.5</v>
      </c>
      <c r="AV772" s="8">
        <v>72</v>
      </c>
      <c r="AW772" s="8">
        <v>63</v>
      </c>
      <c r="AX772" s="8">
        <v>370</v>
      </c>
      <c r="AY772" s="8">
        <v>37</v>
      </c>
      <c r="AZ772" s="8" t="s">
        <v>32</v>
      </c>
      <c r="BA772" s="7">
        <v>4.8</v>
      </c>
      <c r="BB772" s="9">
        <v>131</v>
      </c>
      <c r="BC772" s="8" t="s">
        <v>1631</v>
      </c>
      <c r="BD772" s="8">
        <v>1.3</v>
      </c>
      <c r="BE772" s="8">
        <v>1.2</v>
      </c>
      <c r="BF772" s="8">
        <v>1.8</v>
      </c>
      <c r="BG772" s="8">
        <v>2.9</v>
      </c>
      <c r="BH772" s="8">
        <v>4.3</v>
      </c>
      <c r="BI772" s="8">
        <v>7</v>
      </c>
      <c r="BJ772" s="8">
        <v>10.4</v>
      </c>
      <c r="BK772" s="8">
        <v>9.6</v>
      </c>
      <c r="BL772" s="8">
        <v>7</v>
      </c>
      <c r="BM772" s="8">
        <v>4</v>
      </c>
      <c r="BN772" s="8">
        <v>2.2999999999999998</v>
      </c>
      <c r="BO772" s="8">
        <v>1.8</v>
      </c>
      <c r="BP772" s="7">
        <v>4.5</v>
      </c>
    </row>
    <row r="773" spans="1:68" ht="14.25" customHeight="1">
      <c r="A773" s="12">
        <v>116</v>
      </c>
      <c r="B773" s="14">
        <v>77</v>
      </c>
      <c r="C773" s="13" t="s">
        <v>30</v>
      </c>
      <c r="D773" s="13" t="s">
        <v>1630</v>
      </c>
      <c r="E773" s="13" t="s">
        <v>1627</v>
      </c>
      <c r="F773" s="11">
        <v>-9.8000000000000007</v>
      </c>
      <c r="G773" s="11">
        <v>-9.6</v>
      </c>
      <c r="H773" s="11">
        <v>-3.7</v>
      </c>
      <c r="I773" s="11">
        <v>6.6</v>
      </c>
      <c r="J773" s="11">
        <v>14.6</v>
      </c>
      <c r="K773" s="11">
        <v>17.899999999999999</v>
      </c>
      <c r="L773" s="11">
        <v>19.899999999999999</v>
      </c>
      <c r="M773" s="11">
        <v>18.600000000000001</v>
      </c>
      <c r="N773" s="11">
        <v>13</v>
      </c>
      <c r="O773" s="11">
        <v>5.9</v>
      </c>
      <c r="P773" s="11">
        <v>-0.6</v>
      </c>
      <c r="Q773" s="11">
        <v>-6.2</v>
      </c>
      <c r="R773" s="10">
        <v>5.6</v>
      </c>
      <c r="S773" s="12">
        <v>77</v>
      </c>
      <c r="T773" s="8" t="s">
        <v>1629</v>
      </c>
      <c r="U773" s="11">
        <v>-32</v>
      </c>
      <c r="V773" s="11">
        <v>-31</v>
      </c>
      <c r="W773" s="11">
        <v>-28</v>
      </c>
      <c r="X773" s="11">
        <v>-26</v>
      </c>
      <c r="Y773" s="11">
        <v>-15</v>
      </c>
      <c r="Z773" s="11">
        <v>-37</v>
      </c>
      <c r="AA773" s="11">
        <v>6.7</v>
      </c>
      <c r="AB773" s="11">
        <v>134</v>
      </c>
      <c r="AC773" s="11">
        <v>-6.3</v>
      </c>
      <c r="AD773" s="11">
        <v>196</v>
      </c>
      <c r="AE773" s="11">
        <v>-3.1</v>
      </c>
      <c r="AF773" s="11">
        <v>212</v>
      </c>
      <c r="AG773" s="11">
        <v>-2.2000000000000002</v>
      </c>
      <c r="AH773" s="11">
        <v>83</v>
      </c>
      <c r="AI773" s="11">
        <v>76</v>
      </c>
      <c r="AJ773" s="11">
        <v>172</v>
      </c>
      <c r="AK773" s="11" t="s">
        <v>48</v>
      </c>
      <c r="AL773" s="11">
        <v>5.0999999999999996</v>
      </c>
      <c r="AM773" s="10">
        <v>4.2</v>
      </c>
      <c r="AN773" s="9">
        <v>77</v>
      </c>
      <c r="AO773" s="8" t="s">
        <v>1628</v>
      </c>
      <c r="AP773" s="8">
        <v>1000</v>
      </c>
      <c r="AQ773" s="8">
        <v>24.1</v>
      </c>
      <c r="AR773" s="8">
        <v>28.6</v>
      </c>
      <c r="AS773" s="8">
        <v>25.9</v>
      </c>
      <c r="AT773" s="8">
        <v>38</v>
      </c>
      <c r="AU773" s="8">
        <v>11.5</v>
      </c>
      <c r="AV773" s="8">
        <v>66</v>
      </c>
      <c r="AW773" s="8">
        <v>50</v>
      </c>
      <c r="AX773" s="8">
        <v>367</v>
      </c>
      <c r="AY773" s="8">
        <v>100</v>
      </c>
      <c r="AZ773" s="8" t="s">
        <v>32</v>
      </c>
      <c r="BA773" s="7">
        <v>3.3</v>
      </c>
      <c r="BB773" s="9">
        <v>62</v>
      </c>
      <c r="BC773" s="8" t="s">
        <v>1627</v>
      </c>
      <c r="BD773" s="8">
        <v>2.9</v>
      </c>
      <c r="BE773" s="8">
        <v>3.1</v>
      </c>
      <c r="BF773" s="8">
        <v>4.3</v>
      </c>
      <c r="BG773" s="8">
        <v>7</v>
      </c>
      <c r="BH773" s="8">
        <v>9.4</v>
      </c>
      <c r="BI773" s="8">
        <v>12.7</v>
      </c>
      <c r="BJ773" s="8">
        <v>15</v>
      </c>
      <c r="BK773" s="8">
        <v>13.8</v>
      </c>
      <c r="BL773" s="8">
        <v>10.3</v>
      </c>
      <c r="BM773" s="8">
        <v>7.3</v>
      </c>
      <c r="BN773" s="8">
        <v>5.4</v>
      </c>
      <c r="BO773" s="8">
        <v>4</v>
      </c>
      <c r="BP773" s="7">
        <v>7.9</v>
      </c>
    </row>
    <row r="774" spans="1:68" ht="14.25" customHeight="1">
      <c r="A774" s="12">
        <v>117</v>
      </c>
      <c r="B774" s="14">
        <v>409</v>
      </c>
      <c r="C774" s="13" t="s">
        <v>30</v>
      </c>
      <c r="D774" s="13" t="s">
        <v>57</v>
      </c>
      <c r="E774" s="13" t="s">
        <v>1625</v>
      </c>
      <c r="F774" s="11">
        <v>-37.9</v>
      </c>
      <c r="G774" s="11">
        <v>-36.200000000000003</v>
      </c>
      <c r="H774" s="11">
        <v>-28.8</v>
      </c>
      <c r="I774" s="11">
        <v>-16.8</v>
      </c>
      <c r="J774" s="11">
        <v>-2.6</v>
      </c>
      <c r="K774" s="11">
        <v>9.3000000000000007</v>
      </c>
      <c r="L774" s="11">
        <v>11.9</v>
      </c>
      <c r="M774" s="11">
        <v>8.6999999999999993</v>
      </c>
      <c r="N774" s="11">
        <v>1.5</v>
      </c>
      <c r="O774" s="11">
        <v>-13.2</v>
      </c>
      <c r="P774" s="11">
        <v>-29.7</v>
      </c>
      <c r="Q774" s="11">
        <v>-35.9</v>
      </c>
      <c r="R774" s="10">
        <v>-14.2</v>
      </c>
      <c r="S774" s="12">
        <v>409</v>
      </c>
      <c r="T774" s="8" t="s">
        <v>1625</v>
      </c>
      <c r="U774" s="11">
        <v>-55</v>
      </c>
      <c r="V774" s="11">
        <v>-53</v>
      </c>
      <c r="W774" s="11">
        <v>-52</v>
      </c>
      <c r="X774" s="11">
        <v>-51</v>
      </c>
      <c r="Y774" s="11">
        <v>-43</v>
      </c>
      <c r="Z774" s="11">
        <v>-57</v>
      </c>
      <c r="AA774" s="11">
        <v>8.6999999999999993</v>
      </c>
      <c r="AB774" s="11">
        <v>246</v>
      </c>
      <c r="AC774" s="11">
        <v>-24.5</v>
      </c>
      <c r="AD774" s="11">
        <v>297</v>
      </c>
      <c r="AE774" s="11">
        <v>-19.600000000000001</v>
      </c>
      <c r="AF774" s="11">
        <v>324</v>
      </c>
      <c r="AG774" s="11">
        <v>-17.2</v>
      </c>
      <c r="AH774" s="11">
        <v>76</v>
      </c>
      <c r="AI774" s="11">
        <v>76</v>
      </c>
      <c r="AJ774" s="11">
        <v>64</v>
      </c>
      <c r="AK774" s="11" t="s">
        <v>75</v>
      </c>
      <c r="AL774" s="11" t="s">
        <v>44</v>
      </c>
      <c r="AM774" s="10">
        <v>1.6</v>
      </c>
      <c r="AN774" s="9">
        <v>409</v>
      </c>
      <c r="AO774" s="8" t="s">
        <v>1626</v>
      </c>
      <c r="AP774" s="8">
        <v>1010</v>
      </c>
      <c r="AQ774" s="8">
        <v>14.9</v>
      </c>
      <c r="AR774" s="8">
        <v>19.399999999999999</v>
      </c>
      <c r="AS774" s="8">
        <v>17.3</v>
      </c>
      <c r="AT774" s="8">
        <v>34</v>
      </c>
      <c r="AU774" s="8">
        <v>9.8000000000000007</v>
      </c>
      <c r="AV774" s="8">
        <v>70</v>
      </c>
      <c r="AW774" s="8">
        <v>60</v>
      </c>
      <c r="AX774" s="8">
        <v>196</v>
      </c>
      <c r="AY774" s="8">
        <v>41</v>
      </c>
      <c r="AZ774" s="8" t="s">
        <v>54</v>
      </c>
      <c r="BA774" s="7" t="s">
        <v>46</v>
      </c>
      <c r="BB774" s="9">
        <v>373</v>
      </c>
      <c r="BC774" s="8" t="s">
        <v>1625</v>
      </c>
      <c r="BD774" s="8">
        <v>0.2</v>
      </c>
      <c r="BE774" s="8">
        <v>0.3</v>
      </c>
      <c r="BF774" s="8">
        <v>0.5</v>
      </c>
      <c r="BG774" s="8">
        <v>1.3</v>
      </c>
      <c r="BH774" s="8">
        <v>3.7</v>
      </c>
      <c r="BI774" s="8">
        <v>7.6</v>
      </c>
      <c r="BJ774" s="8">
        <v>9.6999999999999993</v>
      </c>
      <c r="BK774" s="8">
        <v>8.6999999999999993</v>
      </c>
      <c r="BL774" s="8">
        <v>5.5</v>
      </c>
      <c r="BM774" s="8">
        <v>2.2000000000000002</v>
      </c>
      <c r="BN774" s="8">
        <v>0.6</v>
      </c>
      <c r="BO774" s="8">
        <v>0.3</v>
      </c>
      <c r="BP774" s="7">
        <v>3.4</v>
      </c>
    </row>
    <row r="775" spans="1:68" ht="14.25" customHeight="1">
      <c r="A775" s="12">
        <v>118</v>
      </c>
      <c r="B775" s="14">
        <v>228</v>
      </c>
      <c r="C775" s="13" t="s">
        <v>30</v>
      </c>
      <c r="D775" s="13" t="s">
        <v>929</v>
      </c>
      <c r="E775" s="13" t="s">
        <v>1622</v>
      </c>
      <c r="F775" s="11">
        <v>-11.3</v>
      </c>
      <c r="G775" s="11">
        <v>-10.8</v>
      </c>
      <c r="H775" s="11">
        <v>-5.0999999999999996</v>
      </c>
      <c r="I775" s="11">
        <v>4.4000000000000004</v>
      </c>
      <c r="J775" s="11">
        <v>12.5</v>
      </c>
      <c r="K775" s="11">
        <v>16.8</v>
      </c>
      <c r="L775" s="11">
        <v>18.899999999999999</v>
      </c>
      <c r="M775" s="11">
        <v>17</v>
      </c>
      <c r="N775" s="11">
        <v>11.1</v>
      </c>
      <c r="O775" s="11">
        <v>4</v>
      </c>
      <c r="P775" s="11">
        <v>-2.8</v>
      </c>
      <c r="Q775" s="11">
        <v>-8.5</v>
      </c>
      <c r="R775" s="10">
        <v>3.8</v>
      </c>
      <c r="S775" s="12">
        <v>228</v>
      </c>
      <c r="T775" s="8" t="s">
        <v>1624</v>
      </c>
      <c r="U775" s="11">
        <v>-38</v>
      </c>
      <c r="V775" s="11">
        <v>-34</v>
      </c>
      <c r="W775" s="11">
        <v>-33</v>
      </c>
      <c r="X775" s="11">
        <v>-30</v>
      </c>
      <c r="Y775" s="11">
        <v>-16</v>
      </c>
      <c r="Z775" s="11">
        <v>-45</v>
      </c>
      <c r="AA775" s="11">
        <v>6.9</v>
      </c>
      <c r="AB775" s="11">
        <v>149</v>
      </c>
      <c r="AC775" s="11">
        <v>-7.3</v>
      </c>
      <c r="AD775" s="11">
        <v>212</v>
      </c>
      <c r="AE775" s="11">
        <v>-4</v>
      </c>
      <c r="AF775" s="11">
        <v>228</v>
      </c>
      <c r="AG775" s="11">
        <v>-3.1</v>
      </c>
      <c r="AH775" s="11">
        <v>85</v>
      </c>
      <c r="AI775" s="11">
        <v>82</v>
      </c>
      <c r="AJ775" s="11">
        <v>232</v>
      </c>
      <c r="AK775" s="11" t="s">
        <v>39</v>
      </c>
      <c r="AL775" s="11" t="s">
        <v>44</v>
      </c>
      <c r="AM775" s="10">
        <v>3.4</v>
      </c>
      <c r="AN775" s="9">
        <v>228</v>
      </c>
      <c r="AO775" s="8" t="s">
        <v>1623</v>
      </c>
      <c r="AP775" s="8">
        <v>1000</v>
      </c>
      <c r="AQ775" s="8">
        <v>22.3</v>
      </c>
      <c r="AR775" s="8">
        <v>26.5</v>
      </c>
      <c r="AS775" s="8">
        <v>24.7</v>
      </c>
      <c r="AT775" s="8">
        <v>39</v>
      </c>
      <c r="AU775" s="8">
        <v>11.3</v>
      </c>
      <c r="AV775" s="8">
        <v>72</v>
      </c>
      <c r="AW775" s="8">
        <v>56</v>
      </c>
      <c r="AX775" s="8">
        <v>416</v>
      </c>
      <c r="AY775" s="8" t="s">
        <v>64</v>
      </c>
      <c r="AZ775" s="8" t="s">
        <v>82</v>
      </c>
      <c r="BA775" s="7" t="s">
        <v>46</v>
      </c>
      <c r="BB775" s="9"/>
      <c r="BC775" s="8" t="s">
        <v>1622</v>
      </c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7"/>
    </row>
    <row r="776" spans="1:68" ht="14.25" customHeight="1">
      <c r="A776" s="12">
        <v>119</v>
      </c>
      <c r="B776" s="14">
        <v>74</v>
      </c>
      <c r="C776" s="13" t="s">
        <v>30</v>
      </c>
      <c r="D776" s="13" t="s">
        <v>422</v>
      </c>
      <c r="E776" s="13" t="s">
        <v>1619</v>
      </c>
      <c r="F776" s="11">
        <v>-10.9</v>
      </c>
      <c r="G776" s="11">
        <v>-10.4</v>
      </c>
      <c r="H776" s="11">
        <v>-5.9</v>
      </c>
      <c r="I776" s="11">
        <v>1.8</v>
      </c>
      <c r="J776" s="11">
        <v>8.4</v>
      </c>
      <c r="K776" s="11">
        <v>13.8</v>
      </c>
      <c r="L776" s="11">
        <v>16.7</v>
      </c>
      <c r="M776" s="11">
        <v>14.7</v>
      </c>
      <c r="N776" s="11">
        <v>9.1999999999999993</v>
      </c>
      <c r="O776" s="11">
        <v>3</v>
      </c>
      <c r="P776" s="11">
        <v>-2.8</v>
      </c>
      <c r="Q776" s="11">
        <v>-8</v>
      </c>
      <c r="R776" s="10">
        <v>2.5</v>
      </c>
      <c r="S776" s="12">
        <v>74</v>
      </c>
      <c r="T776" s="8" t="s">
        <v>1621</v>
      </c>
      <c r="U776" s="11">
        <v>-40</v>
      </c>
      <c r="V776" s="11">
        <v>-36</v>
      </c>
      <c r="W776" s="11">
        <v>-35</v>
      </c>
      <c r="X776" s="11">
        <v>-32</v>
      </c>
      <c r="Y776" s="11">
        <v>-16</v>
      </c>
      <c r="Z776" s="11">
        <v>-49</v>
      </c>
      <c r="AA776" s="11">
        <v>7.1</v>
      </c>
      <c r="AB776" s="11">
        <v>159</v>
      </c>
      <c r="AC776" s="11">
        <v>-6.9</v>
      </c>
      <c r="AD776" s="11">
        <v>235</v>
      </c>
      <c r="AE776" s="11">
        <v>-3.4</v>
      </c>
      <c r="AF776" s="11">
        <v>256</v>
      </c>
      <c r="AG776" s="11">
        <v>-2.4</v>
      </c>
      <c r="AH776" s="11">
        <v>84</v>
      </c>
      <c r="AI776" s="11">
        <v>83</v>
      </c>
      <c r="AJ776" s="11">
        <v>201</v>
      </c>
      <c r="AK776" s="11" t="s">
        <v>27</v>
      </c>
      <c r="AL776" s="11">
        <v>5.3</v>
      </c>
      <c r="AM776" s="10">
        <v>3.6</v>
      </c>
      <c r="AN776" s="9">
        <v>74</v>
      </c>
      <c r="AO776" s="8" t="s">
        <v>1620</v>
      </c>
      <c r="AP776" s="8">
        <v>1005</v>
      </c>
      <c r="AQ776" s="8">
        <v>20</v>
      </c>
      <c r="AR776" s="8">
        <v>24.7</v>
      </c>
      <c r="AS776" s="8">
        <v>21.9</v>
      </c>
      <c r="AT776" s="8">
        <v>36</v>
      </c>
      <c r="AU776" s="8">
        <v>10.8</v>
      </c>
      <c r="AV776" s="8">
        <v>74</v>
      </c>
      <c r="AW776" s="8">
        <v>59</v>
      </c>
      <c r="AX776" s="8">
        <v>454</v>
      </c>
      <c r="AY776" s="8">
        <v>72</v>
      </c>
      <c r="AZ776" s="8" t="s">
        <v>54</v>
      </c>
      <c r="BA776" s="7">
        <v>0</v>
      </c>
      <c r="BB776" s="9">
        <v>59</v>
      </c>
      <c r="BC776" s="8" t="s">
        <v>1619</v>
      </c>
      <c r="BD776" s="8">
        <v>2.5</v>
      </c>
      <c r="BE776" s="8">
        <v>2.7</v>
      </c>
      <c r="BF776" s="8">
        <v>3.6</v>
      </c>
      <c r="BG776" s="8">
        <v>5.3</v>
      </c>
      <c r="BH776" s="8">
        <v>7.6</v>
      </c>
      <c r="BI776" s="8">
        <v>11.2</v>
      </c>
      <c r="BJ776" s="8">
        <v>14</v>
      </c>
      <c r="BK776" s="8">
        <v>13.3</v>
      </c>
      <c r="BL776" s="8">
        <v>10</v>
      </c>
      <c r="BM776" s="8">
        <v>6.7</v>
      </c>
      <c r="BN776" s="8">
        <v>4.9000000000000004</v>
      </c>
      <c r="BO776" s="8">
        <v>3.4</v>
      </c>
      <c r="BP776" s="7">
        <v>7.1</v>
      </c>
    </row>
    <row r="777" spans="1:68" ht="14.25" customHeight="1">
      <c r="A777" s="12">
        <v>120</v>
      </c>
      <c r="B777" s="14">
        <v>350</v>
      </c>
      <c r="C777" s="13" t="s">
        <v>30</v>
      </c>
      <c r="D777" s="13" t="s">
        <v>86</v>
      </c>
      <c r="E777" s="13" t="s">
        <v>1616</v>
      </c>
      <c r="F777" s="11">
        <v>-22.3</v>
      </c>
      <c r="G777" s="11">
        <v>-17.8</v>
      </c>
      <c r="H777" s="11">
        <v>-9</v>
      </c>
      <c r="I777" s="11">
        <v>3.4</v>
      </c>
      <c r="J777" s="11">
        <v>11.3</v>
      </c>
      <c r="K777" s="11">
        <v>17.100000000000001</v>
      </c>
      <c r="L777" s="11">
        <v>20.6</v>
      </c>
      <c r="M777" s="11">
        <v>19.600000000000001</v>
      </c>
      <c r="N777" s="11">
        <v>13</v>
      </c>
      <c r="O777" s="11">
        <v>3.9</v>
      </c>
      <c r="P777" s="11">
        <v>-8.1999999999999993</v>
      </c>
      <c r="Q777" s="11">
        <v>-18.100000000000001</v>
      </c>
      <c r="R777" s="10">
        <v>1.1000000000000001</v>
      </c>
      <c r="S777" s="12">
        <v>350</v>
      </c>
      <c r="T777" s="8" t="s">
        <v>1618</v>
      </c>
      <c r="U777" s="11">
        <v>-38</v>
      </c>
      <c r="V777" s="11">
        <v>-34</v>
      </c>
      <c r="W777" s="11">
        <v>-34</v>
      </c>
      <c r="X777" s="11">
        <v>-31</v>
      </c>
      <c r="Y777" s="11">
        <v>-27</v>
      </c>
      <c r="Z777" s="11">
        <v>-48</v>
      </c>
      <c r="AA777" s="11">
        <v>11.9</v>
      </c>
      <c r="AB777" s="11">
        <v>163</v>
      </c>
      <c r="AC777" s="11">
        <v>-13.5</v>
      </c>
      <c r="AD777" s="11">
        <v>213</v>
      </c>
      <c r="AE777" s="11">
        <v>-9.3000000000000007</v>
      </c>
      <c r="AF777" s="11">
        <v>227</v>
      </c>
      <c r="AG777" s="11">
        <v>-8.1</v>
      </c>
      <c r="AH777" s="11">
        <v>74</v>
      </c>
      <c r="AI777" s="11">
        <v>66</v>
      </c>
      <c r="AJ777" s="11">
        <v>114</v>
      </c>
      <c r="AK777" s="11" t="s">
        <v>39</v>
      </c>
      <c r="AL777" s="11">
        <v>4.0999999999999996</v>
      </c>
      <c r="AM777" s="10" t="s">
        <v>44</v>
      </c>
      <c r="AN777" s="9">
        <v>350</v>
      </c>
      <c r="AO777" s="8" t="s">
        <v>1617</v>
      </c>
      <c r="AP777" s="8">
        <v>1000</v>
      </c>
      <c r="AQ777" s="8">
        <v>24</v>
      </c>
      <c r="AR777" s="8">
        <v>28.1</v>
      </c>
      <c r="AS777" s="8">
        <v>26.4</v>
      </c>
      <c r="AT777" s="8">
        <v>40</v>
      </c>
      <c r="AU777" s="8">
        <v>11.7</v>
      </c>
      <c r="AV777" s="8">
        <v>82</v>
      </c>
      <c r="AW777" s="8">
        <v>67</v>
      </c>
      <c r="AX777" s="8">
        <v>602</v>
      </c>
      <c r="AY777" s="8">
        <v>95</v>
      </c>
      <c r="AZ777" s="8" t="s">
        <v>82</v>
      </c>
      <c r="BA777" s="7">
        <v>0</v>
      </c>
      <c r="BB777" s="9">
        <v>315</v>
      </c>
      <c r="BC777" s="8" t="s">
        <v>1616</v>
      </c>
      <c r="BD777" s="8">
        <v>0.9</v>
      </c>
      <c r="BE777" s="8">
        <v>1.2</v>
      </c>
      <c r="BF777" s="8">
        <v>2.5</v>
      </c>
      <c r="BG777" s="8">
        <v>5</v>
      </c>
      <c r="BH777" s="8">
        <v>8.4</v>
      </c>
      <c r="BI777" s="8">
        <v>14.7</v>
      </c>
      <c r="BJ777" s="8">
        <v>20.2</v>
      </c>
      <c r="BK777" s="8">
        <v>19.5</v>
      </c>
      <c r="BL777" s="8">
        <v>12.2</v>
      </c>
      <c r="BM777" s="8">
        <v>5.8</v>
      </c>
      <c r="BN777" s="8">
        <v>2.5</v>
      </c>
      <c r="BO777" s="8">
        <v>1.2</v>
      </c>
      <c r="BP777" s="7">
        <v>7.8</v>
      </c>
    </row>
    <row r="778" spans="1:68" ht="14.25" customHeight="1">
      <c r="A778" s="12">
        <v>121</v>
      </c>
      <c r="B778" s="14">
        <v>303</v>
      </c>
      <c r="C778" s="13" t="s">
        <v>30</v>
      </c>
      <c r="D778" s="13" t="s">
        <v>613</v>
      </c>
      <c r="E778" s="13" t="s">
        <v>1613</v>
      </c>
      <c r="F778" s="11">
        <v>-9.8000000000000007</v>
      </c>
      <c r="G778" s="11">
        <v>-9</v>
      </c>
      <c r="H778" s="11">
        <v>-4.3</v>
      </c>
      <c r="I778" s="11">
        <v>4.3</v>
      </c>
      <c r="J778" s="11">
        <v>11.3</v>
      </c>
      <c r="K778" s="11">
        <v>15.4</v>
      </c>
      <c r="L778" s="11">
        <v>16.600000000000001</v>
      </c>
      <c r="M778" s="11">
        <v>15.4</v>
      </c>
      <c r="N778" s="11">
        <v>10.199999999999999</v>
      </c>
      <c r="O778" s="11">
        <v>4.0999999999999996</v>
      </c>
      <c r="P778" s="11">
        <v>-1.9</v>
      </c>
      <c r="Q778" s="11">
        <v>-6.4</v>
      </c>
      <c r="R778" s="10">
        <v>3.8</v>
      </c>
      <c r="S778" s="12">
        <v>303</v>
      </c>
      <c r="T778" s="8" t="s">
        <v>1615</v>
      </c>
      <c r="U778" s="11">
        <v>-35</v>
      </c>
      <c r="V778" s="11">
        <v>-32</v>
      </c>
      <c r="W778" s="11">
        <v>-29</v>
      </c>
      <c r="X778" s="11">
        <v>-27</v>
      </c>
      <c r="Y778" s="11">
        <v>-15</v>
      </c>
      <c r="Z778" s="11">
        <v>-43</v>
      </c>
      <c r="AA778" s="11">
        <v>6.3</v>
      </c>
      <c r="AB778" s="11">
        <v>145</v>
      </c>
      <c r="AC778" s="11">
        <v>-6.1</v>
      </c>
      <c r="AD778" s="11">
        <v>217</v>
      </c>
      <c r="AE778" s="11">
        <v>-2.8</v>
      </c>
      <c r="AF778" s="11">
        <v>236</v>
      </c>
      <c r="AG778" s="11">
        <v>-1.8</v>
      </c>
      <c r="AH778" s="11">
        <v>87</v>
      </c>
      <c r="AI778" s="11">
        <v>86</v>
      </c>
      <c r="AJ778" s="11">
        <v>284</v>
      </c>
      <c r="AK778" s="11" t="s">
        <v>27</v>
      </c>
      <c r="AL778" s="11" t="s">
        <v>44</v>
      </c>
      <c r="AM778" s="10">
        <v>4.4000000000000004</v>
      </c>
      <c r="AN778" s="9">
        <v>303</v>
      </c>
      <c r="AO778" s="8" t="s">
        <v>1614</v>
      </c>
      <c r="AP778" s="8">
        <v>985</v>
      </c>
      <c r="AQ778" s="8">
        <v>19.399999999999999</v>
      </c>
      <c r="AR778" s="8">
        <v>23.7</v>
      </c>
      <c r="AS778" s="8">
        <v>21.8</v>
      </c>
      <c r="AT778" s="8">
        <v>36</v>
      </c>
      <c r="AU778" s="8">
        <v>10.1</v>
      </c>
      <c r="AV778" s="8">
        <v>76</v>
      </c>
      <c r="AW778" s="8">
        <v>60</v>
      </c>
      <c r="AX778" s="8">
        <v>454</v>
      </c>
      <c r="AY778" s="8">
        <v>69</v>
      </c>
      <c r="AZ778" s="8" t="s">
        <v>43</v>
      </c>
      <c r="BA778" s="7" t="s">
        <v>46</v>
      </c>
      <c r="BB778" s="9"/>
      <c r="BC778" s="8" t="s">
        <v>1613</v>
      </c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7"/>
    </row>
    <row r="779" spans="1:68" ht="14.25" customHeight="1">
      <c r="A779" s="12">
        <v>122</v>
      </c>
      <c r="B779" s="14">
        <v>621</v>
      </c>
      <c r="C779" s="13" t="s">
        <v>52</v>
      </c>
      <c r="D779" s="13" t="s">
        <v>1265</v>
      </c>
      <c r="E779" s="13" t="s">
        <v>1611</v>
      </c>
      <c r="F779" s="11">
        <v>-5.0999999999999996</v>
      </c>
      <c r="G779" s="11">
        <v>-3.6</v>
      </c>
      <c r="H779" s="11">
        <v>1.2</v>
      </c>
      <c r="I779" s="11">
        <v>9.1</v>
      </c>
      <c r="J779" s="11">
        <v>15.2</v>
      </c>
      <c r="K779" s="11">
        <v>18.2</v>
      </c>
      <c r="L779" s="11">
        <v>19.5</v>
      </c>
      <c r="M779" s="11">
        <v>18.899999999999999</v>
      </c>
      <c r="N779" s="11">
        <v>14.4</v>
      </c>
      <c r="O779" s="11">
        <v>8.3000000000000007</v>
      </c>
      <c r="P779" s="11">
        <v>2.8</v>
      </c>
      <c r="Q779" s="11">
        <v>-1.6</v>
      </c>
      <c r="R779" s="10">
        <v>8.1</v>
      </c>
      <c r="S779" s="12">
        <v>610</v>
      </c>
      <c r="T779" s="8" t="s">
        <v>1611</v>
      </c>
      <c r="U779" s="11">
        <v>-29</v>
      </c>
      <c r="V779" s="11">
        <v>-26</v>
      </c>
      <c r="W779" s="11">
        <v>-25</v>
      </c>
      <c r="X779" s="11">
        <v>-22</v>
      </c>
      <c r="Y779" s="11">
        <v>-9</v>
      </c>
      <c r="Z779" s="11">
        <v>-35</v>
      </c>
      <c r="AA779" s="11" t="s">
        <v>49</v>
      </c>
      <c r="AB779" s="11">
        <v>95</v>
      </c>
      <c r="AC779" s="11">
        <v>-3.4</v>
      </c>
      <c r="AD779" s="11">
        <v>173</v>
      </c>
      <c r="AE779" s="11">
        <v>-0.2</v>
      </c>
      <c r="AF779" s="11">
        <v>190</v>
      </c>
      <c r="AG779" s="11">
        <v>0.6</v>
      </c>
      <c r="AH779" s="11" t="s">
        <v>49</v>
      </c>
      <c r="AI779" s="11" t="s">
        <v>49</v>
      </c>
      <c r="AJ779" s="11">
        <v>220</v>
      </c>
      <c r="AK779" s="11" t="s">
        <v>27</v>
      </c>
      <c r="AL779" s="11" t="s">
        <v>44</v>
      </c>
      <c r="AM779" s="10" t="s">
        <v>44</v>
      </c>
      <c r="AN779" s="9">
        <v>611</v>
      </c>
      <c r="AO779" s="8" t="s">
        <v>1612</v>
      </c>
      <c r="AP779" s="8" t="s">
        <v>64</v>
      </c>
      <c r="AQ779" s="8">
        <v>27</v>
      </c>
      <c r="AR779" s="8">
        <v>24</v>
      </c>
      <c r="AS779" s="8">
        <v>25.4</v>
      </c>
      <c r="AT779" s="8">
        <v>39</v>
      </c>
      <c r="AU779" s="8" t="s">
        <v>46</v>
      </c>
      <c r="AV779" s="8" t="s">
        <v>45</v>
      </c>
      <c r="AW779" s="8" t="s">
        <v>44</v>
      </c>
      <c r="AX779" s="8" t="s">
        <v>44</v>
      </c>
      <c r="AY779" s="8">
        <v>95</v>
      </c>
      <c r="AZ779" s="8" t="s">
        <v>54</v>
      </c>
      <c r="BA779" s="7">
        <v>1.2</v>
      </c>
      <c r="BB779" s="9"/>
      <c r="BC779" s="8" t="s">
        <v>1611</v>
      </c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7"/>
    </row>
    <row r="780" spans="1:68" ht="14.25" customHeight="1">
      <c r="A780" s="12">
        <v>123</v>
      </c>
      <c r="B780" s="14">
        <v>584</v>
      </c>
      <c r="C780" s="13" t="s">
        <v>117</v>
      </c>
      <c r="D780" s="13" t="s">
        <v>1527</v>
      </c>
      <c r="E780" s="13" t="s">
        <v>1609</v>
      </c>
      <c r="F780" s="11">
        <v>-2.2999999999999998</v>
      </c>
      <c r="G780" s="11">
        <v>0.5</v>
      </c>
      <c r="H780" s="11">
        <v>6.2</v>
      </c>
      <c r="I780" s="11">
        <v>13.1</v>
      </c>
      <c r="J780" s="11">
        <v>18.5</v>
      </c>
      <c r="K780" s="11">
        <v>24</v>
      </c>
      <c r="L780" s="11">
        <v>26.9</v>
      </c>
      <c r="M780" s="11">
        <v>24.6</v>
      </c>
      <c r="N780" s="11">
        <v>18.3</v>
      </c>
      <c r="O780" s="11">
        <v>11.1</v>
      </c>
      <c r="P780" s="11">
        <v>4.2</v>
      </c>
      <c r="Q780" s="11">
        <v>-0.3</v>
      </c>
      <c r="R780" s="10">
        <v>12.1</v>
      </c>
      <c r="S780" s="12">
        <v>573</v>
      </c>
      <c r="T780" s="8" t="s">
        <v>1609</v>
      </c>
      <c r="U780" s="11">
        <v>-26</v>
      </c>
      <c r="V780" s="11">
        <v>-23</v>
      </c>
      <c r="W780" s="11">
        <v>-22</v>
      </c>
      <c r="X780" s="11" t="s">
        <v>64</v>
      </c>
      <c r="Y780" s="11">
        <v>-6</v>
      </c>
      <c r="Z780" s="11">
        <v>-37</v>
      </c>
      <c r="AA780" s="11">
        <v>11</v>
      </c>
      <c r="AB780" s="11">
        <v>62</v>
      </c>
      <c r="AC780" s="11" t="s">
        <v>45</v>
      </c>
      <c r="AD780" s="11">
        <v>144</v>
      </c>
      <c r="AE780" s="11">
        <v>1.4</v>
      </c>
      <c r="AF780" s="11" t="s">
        <v>114</v>
      </c>
      <c r="AG780" s="11" t="s">
        <v>44</v>
      </c>
      <c r="AH780" s="11" t="s">
        <v>49</v>
      </c>
      <c r="AI780" s="11" t="s">
        <v>49</v>
      </c>
      <c r="AJ780" s="11" t="s">
        <v>84</v>
      </c>
      <c r="AK780" s="11" t="s">
        <v>44</v>
      </c>
      <c r="AL780" s="11">
        <v>4.7</v>
      </c>
      <c r="AM780" s="10" t="s">
        <v>44</v>
      </c>
      <c r="AN780" s="9">
        <v>574</v>
      </c>
      <c r="AO780" s="8" t="s">
        <v>1610</v>
      </c>
      <c r="AP780" s="8">
        <v>950</v>
      </c>
      <c r="AQ780" s="8">
        <v>33.299999999999997</v>
      </c>
      <c r="AR780" s="8">
        <v>37.5</v>
      </c>
      <c r="AS780" s="8">
        <v>35.4</v>
      </c>
      <c r="AT780" s="8">
        <v>43</v>
      </c>
      <c r="AU780" s="8">
        <v>20</v>
      </c>
      <c r="AV780" s="8" t="s">
        <v>45</v>
      </c>
      <c r="AW780" s="8" t="s">
        <v>44</v>
      </c>
      <c r="AX780" s="8" t="s">
        <v>44</v>
      </c>
      <c r="AY780" s="8">
        <v>62</v>
      </c>
      <c r="AZ780" s="8" t="s">
        <v>114</v>
      </c>
      <c r="BA780" s="7">
        <v>0</v>
      </c>
      <c r="BB780" s="9"/>
      <c r="BC780" s="8" t="s">
        <v>1609</v>
      </c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7"/>
    </row>
    <row r="781" spans="1:68" ht="14.25" customHeight="1">
      <c r="A781" s="12">
        <v>124</v>
      </c>
      <c r="B781" s="14">
        <v>505</v>
      </c>
      <c r="C781" s="13" t="s">
        <v>121</v>
      </c>
      <c r="D781" s="13" t="s">
        <v>1608</v>
      </c>
      <c r="E781" s="13" t="s">
        <v>1606</v>
      </c>
      <c r="F781" s="11">
        <v>-7.2</v>
      </c>
      <c r="G781" s="11">
        <v>-6.6</v>
      </c>
      <c r="H781" s="11">
        <v>-0.2</v>
      </c>
      <c r="I781" s="11">
        <v>10.199999999999999</v>
      </c>
      <c r="J781" s="11">
        <v>18.100000000000001</v>
      </c>
      <c r="K781" s="11">
        <v>23.1</v>
      </c>
      <c r="L781" s="11">
        <v>25.2</v>
      </c>
      <c r="M781" s="11">
        <v>23.4</v>
      </c>
      <c r="N781" s="11">
        <v>16.8</v>
      </c>
      <c r="O781" s="11">
        <v>8.6</v>
      </c>
      <c r="P781" s="11">
        <v>1.7</v>
      </c>
      <c r="Q781" s="11">
        <v>-3.7</v>
      </c>
      <c r="R781" s="10">
        <v>9.1</v>
      </c>
      <c r="S781" s="12">
        <v>505</v>
      </c>
      <c r="T781" s="8" t="s">
        <v>1606</v>
      </c>
      <c r="U781" s="11">
        <v>-30</v>
      </c>
      <c r="V781" s="11">
        <v>-28</v>
      </c>
      <c r="W781" s="11">
        <v>-27</v>
      </c>
      <c r="X781" s="11">
        <v>-23</v>
      </c>
      <c r="Y781" s="11" t="s">
        <v>49</v>
      </c>
      <c r="Z781" s="11" t="s">
        <v>44</v>
      </c>
      <c r="AA781" s="11">
        <v>7.4</v>
      </c>
      <c r="AB781" s="11">
        <v>111</v>
      </c>
      <c r="AC781" s="11">
        <v>-5.0999999999999996</v>
      </c>
      <c r="AD781" s="11">
        <v>174</v>
      </c>
      <c r="AE781" s="11">
        <v>-1.9</v>
      </c>
      <c r="AF781" s="11">
        <v>187</v>
      </c>
      <c r="AG781" s="11">
        <v>-1.2</v>
      </c>
      <c r="AH781" s="11">
        <v>82</v>
      </c>
      <c r="AI781" s="11" t="s">
        <v>49</v>
      </c>
      <c r="AJ781" s="11">
        <v>66</v>
      </c>
      <c r="AK781" s="11" t="s">
        <v>66</v>
      </c>
      <c r="AL781" s="11">
        <v>7.3</v>
      </c>
      <c r="AM781" s="10">
        <v>4.9000000000000004</v>
      </c>
      <c r="AN781" s="9">
        <v>505</v>
      </c>
      <c r="AO781" s="8" t="s">
        <v>1607</v>
      </c>
      <c r="AP781" s="8" t="s">
        <v>64</v>
      </c>
      <c r="AQ781" s="8" t="s">
        <v>45</v>
      </c>
      <c r="AR781" s="8" t="s">
        <v>44</v>
      </c>
      <c r="AS781" s="8">
        <v>31.2</v>
      </c>
      <c r="AT781" s="8">
        <v>40</v>
      </c>
      <c r="AU781" s="8">
        <v>13</v>
      </c>
      <c r="AV781" s="8">
        <v>57</v>
      </c>
      <c r="AW781" s="8" t="s">
        <v>44</v>
      </c>
      <c r="AX781" s="8">
        <v>112</v>
      </c>
      <c r="AY781" s="8" t="s">
        <v>64</v>
      </c>
      <c r="AZ781" s="8" t="s">
        <v>82</v>
      </c>
      <c r="BA781" s="7">
        <v>4.0999999999999996</v>
      </c>
      <c r="BB781" s="9"/>
      <c r="BC781" s="8" t="s">
        <v>1606</v>
      </c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7"/>
    </row>
    <row r="782" spans="1:68" ht="14.25" customHeight="1">
      <c r="A782" s="12">
        <v>125</v>
      </c>
      <c r="B782" s="14">
        <v>572</v>
      </c>
      <c r="C782" s="13" t="s">
        <v>135</v>
      </c>
      <c r="D782" s="13" t="s">
        <v>1497</v>
      </c>
      <c r="E782" s="13" t="s">
        <v>1604</v>
      </c>
      <c r="F782" s="11">
        <v>-3.9</v>
      </c>
      <c r="G782" s="11">
        <v>-2</v>
      </c>
      <c r="H782" s="11">
        <v>3.7</v>
      </c>
      <c r="I782" s="11">
        <v>11.4</v>
      </c>
      <c r="J782" s="11">
        <v>15.6</v>
      </c>
      <c r="K782" s="11">
        <v>19.7</v>
      </c>
      <c r="L782" s="11">
        <v>23.6</v>
      </c>
      <c r="M782" s="11">
        <v>23.9</v>
      </c>
      <c r="N782" s="11">
        <v>19.399999999999999</v>
      </c>
      <c r="O782" s="11">
        <v>12.4</v>
      </c>
      <c r="P782" s="11">
        <v>5.8</v>
      </c>
      <c r="Q782" s="11">
        <v>0.2</v>
      </c>
      <c r="R782" s="10">
        <v>10.8</v>
      </c>
      <c r="S782" s="15"/>
      <c r="T782" s="8" t="s">
        <v>1605</v>
      </c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7"/>
      <c r="AN782" s="9"/>
      <c r="AO782" s="8" t="s">
        <v>1605</v>
      </c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7"/>
      <c r="BB782" s="9"/>
      <c r="BC782" s="8" t="s">
        <v>1604</v>
      </c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7"/>
    </row>
    <row r="783" spans="1:68" ht="14.25" customHeight="1">
      <c r="A783" s="12">
        <v>126</v>
      </c>
      <c r="B783" s="14">
        <v>554</v>
      </c>
      <c r="C783" s="17" t="s">
        <v>208</v>
      </c>
      <c r="D783" s="17" t="s">
        <v>217</v>
      </c>
      <c r="E783" s="13" t="s">
        <v>1602</v>
      </c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0"/>
      <c r="S783" s="16">
        <v>554</v>
      </c>
      <c r="T783" s="8" t="s">
        <v>1602</v>
      </c>
      <c r="U783" s="11">
        <v>-17</v>
      </c>
      <c r="V783" s="11">
        <v>-13</v>
      </c>
      <c r="W783" s="11">
        <v>-12</v>
      </c>
      <c r="X783" s="11">
        <v>-8</v>
      </c>
      <c r="Y783" s="11">
        <v>0</v>
      </c>
      <c r="Z783" s="11">
        <v>-18</v>
      </c>
      <c r="AA783" s="11">
        <v>10.5</v>
      </c>
      <c r="AB783" s="11">
        <v>0</v>
      </c>
      <c r="AC783" s="11" t="s">
        <v>50</v>
      </c>
      <c r="AD783" s="11">
        <v>98</v>
      </c>
      <c r="AE783" s="11">
        <v>5.3</v>
      </c>
      <c r="AF783" s="11">
        <v>122</v>
      </c>
      <c r="AG783" s="11">
        <v>6</v>
      </c>
      <c r="AH783" s="11" t="s">
        <v>49</v>
      </c>
      <c r="AI783" s="11">
        <v>64</v>
      </c>
      <c r="AJ783" s="11">
        <v>120</v>
      </c>
      <c r="AK783" s="11" t="s">
        <v>199</v>
      </c>
      <c r="AL783" s="11">
        <v>3.9</v>
      </c>
      <c r="AM783" s="10" t="s">
        <v>44</v>
      </c>
      <c r="AN783" s="9">
        <v>555</v>
      </c>
      <c r="AO783" s="8" t="s">
        <v>1603</v>
      </c>
      <c r="AP783" s="8">
        <v>1020</v>
      </c>
      <c r="AQ783" s="8">
        <v>33</v>
      </c>
      <c r="AR783" s="8">
        <v>28</v>
      </c>
      <c r="AS783" s="8">
        <v>31.9</v>
      </c>
      <c r="AT783" s="8">
        <v>46</v>
      </c>
      <c r="AU783" s="8">
        <v>8.3000000000000007</v>
      </c>
      <c r="AV783" s="8">
        <v>71</v>
      </c>
      <c r="AW783" s="8">
        <v>58</v>
      </c>
      <c r="AX783" s="8">
        <v>85</v>
      </c>
      <c r="AY783" s="8">
        <v>79</v>
      </c>
      <c r="AZ783" s="8" t="s">
        <v>43</v>
      </c>
      <c r="BA783" s="7">
        <v>2.6</v>
      </c>
      <c r="BB783" s="9"/>
      <c r="BC783" s="8" t="s">
        <v>1602</v>
      </c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7"/>
    </row>
    <row r="784" spans="1:68" ht="14.25" customHeight="1">
      <c r="A784" s="12">
        <v>127</v>
      </c>
      <c r="B784" s="14">
        <v>551</v>
      </c>
      <c r="C784" s="17" t="s">
        <v>208</v>
      </c>
      <c r="D784" s="17" t="s">
        <v>469</v>
      </c>
      <c r="E784" s="13" t="s">
        <v>1600</v>
      </c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0"/>
      <c r="S784" s="16">
        <v>551</v>
      </c>
      <c r="T784" s="8" t="s">
        <v>1600</v>
      </c>
      <c r="U784" s="11">
        <v>-18</v>
      </c>
      <c r="V784" s="11">
        <v>-14</v>
      </c>
      <c r="W784" s="11">
        <v>-13</v>
      </c>
      <c r="X784" s="11">
        <v>-11</v>
      </c>
      <c r="Y784" s="11">
        <v>-3</v>
      </c>
      <c r="Z784" s="11">
        <v>-22</v>
      </c>
      <c r="AA784" s="11">
        <v>9.5</v>
      </c>
      <c r="AB784" s="11">
        <v>21</v>
      </c>
      <c r="AC784" s="11">
        <v>-0.1</v>
      </c>
      <c r="AD784" s="11">
        <v>151</v>
      </c>
      <c r="AE784" s="11">
        <v>2.7</v>
      </c>
      <c r="AF784" s="11">
        <v>173</v>
      </c>
      <c r="AG784" s="11">
        <v>3.4</v>
      </c>
      <c r="AH784" s="11" t="s">
        <v>49</v>
      </c>
      <c r="AI784" s="11">
        <v>60</v>
      </c>
      <c r="AJ784" s="11">
        <v>174</v>
      </c>
      <c r="AK784" s="11" t="s">
        <v>34</v>
      </c>
      <c r="AL784" s="11">
        <v>5.4</v>
      </c>
      <c r="AM784" s="10" t="s">
        <v>44</v>
      </c>
      <c r="AN784" s="9">
        <v>552</v>
      </c>
      <c r="AO784" s="8" t="s">
        <v>1601</v>
      </c>
      <c r="AP784" s="8">
        <v>850</v>
      </c>
      <c r="AQ784" s="8">
        <v>30</v>
      </c>
      <c r="AR784" s="8">
        <v>24</v>
      </c>
      <c r="AS784" s="8">
        <v>27.6</v>
      </c>
      <c r="AT784" s="8">
        <v>38</v>
      </c>
      <c r="AU784" s="8">
        <v>11.8</v>
      </c>
      <c r="AV784" s="8">
        <v>38</v>
      </c>
      <c r="AW784" s="8">
        <v>30</v>
      </c>
      <c r="AX784" s="8">
        <v>183</v>
      </c>
      <c r="AY784" s="8">
        <v>85</v>
      </c>
      <c r="AZ784" s="8" t="s">
        <v>32</v>
      </c>
      <c r="BA784" s="7">
        <v>1.8</v>
      </c>
      <c r="BB784" s="9"/>
      <c r="BC784" s="8" t="s">
        <v>1600</v>
      </c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7"/>
    </row>
    <row r="785" spans="1:68" ht="14.25" customHeight="1">
      <c r="A785" s="12">
        <v>128</v>
      </c>
      <c r="B785" s="14">
        <v>351</v>
      </c>
      <c r="C785" s="13" t="s">
        <v>30</v>
      </c>
      <c r="D785" s="13" t="s">
        <v>86</v>
      </c>
      <c r="E785" s="13" t="s">
        <v>1597</v>
      </c>
      <c r="F785" s="11">
        <v>-24.9</v>
      </c>
      <c r="G785" s="11">
        <v>-20.100000000000001</v>
      </c>
      <c r="H785" s="11">
        <v>-10.6</v>
      </c>
      <c r="I785" s="11">
        <v>1.3</v>
      </c>
      <c r="J785" s="11">
        <v>9.1</v>
      </c>
      <c r="K785" s="11">
        <v>15.6</v>
      </c>
      <c r="L785" s="11">
        <v>19.600000000000001</v>
      </c>
      <c r="M785" s="11">
        <v>18.399999999999999</v>
      </c>
      <c r="N785" s="11">
        <v>11.4</v>
      </c>
      <c r="O785" s="11">
        <v>1.5</v>
      </c>
      <c r="P785" s="11">
        <v>-10.8</v>
      </c>
      <c r="Q785" s="11">
        <v>-20.8</v>
      </c>
      <c r="R785" s="10">
        <v>-0.9</v>
      </c>
      <c r="S785" s="12">
        <v>351</v>
      </c>
      <c r="T785" s="8" t="s">
        <v>1599</v>
      </c>
      <c r="U785" s="11">
        <v>-39</v>
      </c>
      <c r="V785" s="11">
        <v>-37</v>
      </c>
      <c r="W785" s="11">
        <v>-37</v>
      </c>
      <c r="X785" s="11">
        <v>-35</v>
      </c>
      <c r="Y785" s="11">
        <v>-30</v>
      </c>
      <c r="Z785" s="11">
        <v>-52</v>
      </c>
      <c r="AA785" s="11">
        <v>17.3</v>
      </c>
      <c r="AB785" s="11">
        <v>174</v>
      </c>
      <c r="AC785" s="11">
        <v>-14.9</v>
      </c>
      <c r="AD785" s="11">
        <v>228</v>
      </c>
      <c r="AE785" s="11">
        <v>-10.4</v>
      </c>
      <c r="AF785" s="11">
        <v>242</v>
      </c>
      <c r="AG785" s="11">
        <v>-9.1999999999999993</v>
      </c>
      <c r="AH785" s="11">
        <v>77</v>
      </c>
      <c r="AI785" s="11">
        <v>64</v>
      </c>
      <c r="AJ785" s="11">
        <v>128</v>
      </c>
      <c r="AK785" s="11" t="s">
        <v>44</v>
      </c>
      <c r="AL785" s="11" t="s">
        <v>44</v>
      </c>
      <c r="AM785" s="10" t="s">
        <v>44</v>
      </c>
      <c r="AN785" s="9">
        <v>351</v>
      </c>
      <c r="AO785" s="8" t="s">
        <v>1598</v>
      </c>
      <c r="AP785" s="8">
        <v>985</v>
      </c>
      <c r="AQ785" s="8">
        <v>24.3</v>
      </c>
      <c r="AR785" s="8">
        <v>28.4</v>
      </c>
      <c r="AS785" s="8">
        <v>26.7</v>
      </c>
      <c r="AT785" s="8">
        <v>41</v>
      </c>
      <c r="AU785" s="8">
        <v>13.3</v>
      </c>
      <c r="AV785" s="8">
        <v>84</v>
      </c>
      <c r="AW785" s="8">
        <v>64</v>
      </c>
      <c r="AX785" s="8">
        <v>850</v>
      </c>
      <c r="AY785" s="8">
        <v>95</v>
      </c>
      <c r="AZ785" s="8" t="s">
        <v>32</v>
      </c>
      <c r="BA785" s="7" t="s">
        <v>46</v>
      </c>
      <c r="BB785" s="9">
        <v>316</v>
      </c>
      <c r="BC785" s="8" t="s">
        <v>1597</v>
      </c>
      <c r="BD785" s="8">
        <v>0.8</v>
      </c>
      <c r="BE785" s="8">
        <v>1</v>
      </c>
      <c r="BF785" s="8">
        <v>2.2000000000000002</v>
      </c>
      <c r="BG785" s="8">
        <v>4.7</v>
      </c>
      <c r="BH785" s="8">
        <v>7.8</v>
      </c>
      <c r="BI785" s="8">
        <v>13.7</v>
      </c>
      <c r="BJ785" s="8">
        <v>19.399999999999999</v>
      </c>
      <c r="BK785" s="8">
        <v>18.899999999999999</v>
      </c>
      <c r="BL785" s="8">
        <v>11.8</v>
      </c>
      <c r="BM785" s="8">
        <v>5.6</v>
      </c>
      <c r="BN785" s="8">
        <v>2.4</v>
      </c>
      <c r="BO785" s="8">
        <v>1.1000000000000001</v>
      </c>
      <c r="BP785" s="7">
        <v>7.4</v>
      </c>
    </row>
    <row r="786" spans="1:68" ht="14.25" customHeight="1">
      <c r="A786" s="12">
        <v>129</v>
      </c>
      <c r="B786" s="14">
        <v>642</v>
      </c>
      <c r="C786" s="13" t="s">
        <v>52</v>
      </c>
      <c r="D786" s="13" t="s">
        <v>249</v>
      </c>
      <c r="E786" s="13" t="s">
        <v>1595</v>
      </c>
      <c r="F786" s="11">
        <v>-2.2999999999999998</v>
      </c>
      <c r="G786" s="11">
        <v>-1.6</v>
      </c>
      <c r="H786" s="11">
        <v>2</v>
      </c>
      <c r="I786" s="11">
        <v>9.3000000000000007</v>
      </c>
      <c r="J786" s="11">
        <v>16.100000000000001</v>
      </c>
      <c r="K786" s="11">
        <v>20.6</v>
      </c>
      <c r="L786" s="11">
        <v>22.9</v>
      </c>
      <c r="M786" s="11">
        <v>22.1</v>
      </c>
      <c r="N786" s="11">
        <v>17.3</v>
      </c>
      <c r="O786" s="11">
        <v>10.7</v>
      </c>
      <c r="P786" s="11">
        <v>5.4</v>
      </c>
      <c r="Q786" s="11">
        <v>1.1000000000000001</v>
      </c>
      <c r="R786" s="10">
        <v>10.3</v>
      </c>
      <c r="S786" s="12">
        <v>631</v>
      </c>
      <c r="T786" s="8" t="s">
        <v>1595</v>
      </c>
      <c r="U786" s="11">
        <v>-27</v>
      </c>
      <c r="V786" s="11">
        <v>-24</v>
      </c>
      <c r="W786" s="11">
        <v>-23</v>
      </c>
      <c r="X786" s="11">
        <v>-19</v>
      </c>
      <c r="Y786" s="11">
        <v>-7</v>
      </c>
      <c r="Z786" s="11">
        <v>-32</v>
      </c>
      <c r="AA786" s="11" t="s">
        <v>49</v>
      </c>
      <c r="AB786" s="11">
        <v>70</v>
      </c>
      <c r="AC786" s="11">
        <v>-1.7</v>
      </c>
      <c r="AD786" s="11">
        <v>161</v>
      </c>
      <c r="AE786" s="11">
        <v>1.4</v>
      </c>
      <c r="AF786" s="11">
        <v>178</v>
      </c>
      <c r="AG786" s="11">
        <v>2.1</v>
      </c>
      <c r="AH786" s="11" t="s">
        <v>49</v>
      </c>
      <c r="AI786" s="11" t="s">
        <v>49</v>
      </c>
      <c r="AJ786" s="11">
        <v>166</v>
      </c>
      <c r="AK786" s="11" t="s">
        <v>66</v>
      </c>
      <c r="AL786" s="11">
        <v>6.6</v>
      </c>
      <c r="AM786" s="10" t="s">
        <v>44</v>
      </c>
      <c r="AN786" s="9">
        <v>632</v>
      </c>
      <c r="AO786" s="8" t="s">
        <v>1596</v>
      </c>
      <c r="AP786" s="8">
        <v>1015</v>
      </c>
      <c r="AQ786" s="8">
        <v>29</v>
      </c>
      <c r="AR786" s="8">
        <v>25</v>
      </c>
      <c r="AS786" s="8">
        <v>27.1</v>
      </c>
      <c r="AT786" s="8">
        <v>38</v>
      </c>
      <c r="AU786" s="8" t="s">
        <v>46</v>
      </c>
      <c r="AV786" s="8" t="s">
        <v>45</v>
      </c>
      <c r="AW786" s="8" t="s">
        <v>44</v>
      </c>
      <c r="AX786" s="8" t="s">
        <v>44</v>
      </c>
      <c r="AY786" s="8">
        <v>114</v>
      </c>
      <c r="AZ786" s="8" t="s">
        <v>32</v>
      </c>
      <c r="BA786" s="7">
        <v>2.6</v>
      </c>
      <c r="BB786" s="9"/>
      <c r="BC786" s="8" t="s">
        <v>1595</v>
      </c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7"/>
    </row>
    <row r="787" spans="1:68" ht="14.25" customHeight="1">
      <c r="A787" s="12">
        <v>130</v>
      </c>
      <c r="B787" s="14">
        <v>340</v>
      </c>
      <c r="C787" s="13" t="s">
        <v>30</v>
      </c>
      <c r="D787" s="13" t="s">
        <v>664</v>
      </c>
      <c r="E787" s="13" t="s">
        <v>1592</v>
      </c>
      <c r="F787" s="11">
        <v>-14.9</v>
      </c>
      <c r="G787" s="11">
        <v>-14</v>
      </c>
      <c r="H787" s="11">
        <v>-8</v>
      </c>
      <c r="I787" s="11">
        <v>2</v>
      </c>
      <c r="J787" s="11">
        <v>9.9</v>
      </c>
      <c r="K787" s="11">
        <v>15.8</v>
      </c>
      <c r="L787" s="11">
        <v>17.8</v>
      </c>
      <c r="M787" s="11">
        <v>15.4</v>
      </c>
      <c r="N787" s="11">
        <v>9.1</v>
      </c>
      <c r="O787" s="11">
        <v>1.8</v>
      </c>
      <c r="P787" s="11">
        <v>-6.2</v>
      </c>
      <c r="Q787" s="11">
        <v>-12.6</v>
      </c>
      <c r="R787" s="10">
        <v>1.3</v>
      </c>
      <c r="S787" s="12">
        <v>340</v>
      </c>
      <c r="T787" s="8" t="s">
        <v>1594</v>
      </c>
      <c r="U787" s="11">
        <v>-42</v>
      </c>
      <c r="V787" s="11">
        <v>-39</v>
      </c>
      <c r="W787" s="11">
        <v>-38</v>
      </c>
      <c r="X787" s="11">
        <v>-35</v>
      </c>
      <c r="Y787" s="11">
        <v>-20</v>
      </c>
      <c r="Z787" s="11">
        <v>-50</v>
      </c>
      <c r="AA787" s="11">
        <v>8</v>
      </c>
      <c r="AB787" s="11">
        <v>168</v>
      </c>
      <c r="AC787" s="11">
        <v>-9.6999999999999993</v>
      </c>
      <c r="AD787" s="11">
        <v>231</v>
      </c>
      <c r="AE787" s="11">
        <v>-6</v>
      </c>
      <c r="AF787" s="11">
        <v>247</v>
      </c>
      <c r="AG787" s="11">
        <v>-5</v>
      </c>
      <c r="AH787" s="11">
        <v>85</v>
      </c>
      <c r="AI787" s="11">
        <v>84</v>
      </c>
      <c r="AJ787" s="11">
        <v>248</v>
      </c>
      <c r="AK787" s="11" t="s">
        <v>39</v>
      </c>
      <c r="AL787" s="11">
        <v>4.9000000000000004</v>
      </c>
      <c r="AM787" s="10" t="s">
        <v>44</v>
      </c>
      <c r="AN787" s="9">
        <v>340</v>
      </c>
      <c r="AO787" s="8" t="s">
        <v>1593</v>
      </c>
      <c r="AP787" s="8">
        <v>995</v>
      </c>
      <c r="AQ787" s="8">
        <v>21.2</v>
      </c>
      <c r="AR787" s="8">
        <v>25.4</v>
      </c>
      <c r="AS787" s="8">
        <v>23.6</v>
      </c>
      <c r="AT787" s="8">
        <v>37</v>
      </c>
      <c r="AU787" s="8">
        <v>11.8</v>
      </c>
      <c r="AV787" s="8">
        <v>71</v>
      </c>
      <c r="AW787" s="8">
        <v>55</v>
      </c>
      <c r="AX787" s="8">
        <v>437</v>
      </c>
      <c r="AY787" s="8">
        <v>62</v>
      </c>
      <c r="AZ787" s="8" t="s">
        <v>43</v>
      </c>
      <c r="BA787" s="7">
        <v>0</v>
      </c>
      <c r="BB787" s="9"/>
      <c r="BC787" s="8" t="s">
        <v>1592</v>
      </c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7"/>
    </row>
    <row r="788" spans="1:68" ht="14.25" customHeight="1">
      <c r="A788" s="12">
        <v>131</v>
      </c>
      <c r="B788" s="14">
        <v>473</v>
      </c>
      <c r="C788" s="13" t="s">
        <v>774</v>
      </c>
      <c r="D788" s="13" t="s">
        <v>1591</v>
      </c>
      <c r="E788" s="13" t="s">
        <v>1590</v>
      </c>
      <c r="F788" s="11">
        <v>-7</v>
      </c>
      <c r="G788" s="11">
        <v>-6.1</v>
      </c>
      <c r="H788" s="11">
        <v>-1.5</v>
      </c>
      <c r="I788" s="11">
        <v>6.6</v>
      </c>
      <c r="J788" s="11">
        <v>13.9</v>
      </c>
      <c r="K788" s="11">
        <v>17</v>
      </c>
      <c r="L788" s="11">
        <v>18.5</v>
      </c>
      <c r="M788" s="11">
        <v>17.399999999999999</v>
      </c>
      <c r="N788" s="11">
        <v>12.5</v>
      </c>
      <c r="O788" s="11">
        <v>6.5</v>
      </c>
      <c r="P788" s="11">
        <v>0.7</v>
      </c>
      <c r="Q788" s="11">
        <v>-4.0999999999999996</v>
      </c>
      <c r="R788" s="10">
        <v>6.2</v>
      </c>
      <c r="S788" s="12">
        <v>473</v>
      </c>
      <c r="T788" s="8" t="s">
        <v>1588</v>
      </c>
      <c r="U788" s="11">
        <v>-32</v>
      </c>
      <c r="V788" s="11">
        <v>-28</v>
      </c>
      <c r="W788" s="11">
        <v>-28</v>
      </c>
      <c r="X788" s="11">
        <v>-24</v>
      </c>
      <c r="Y788" s="11">
        <v>-11</v>
      </c>
      <c r="Z788" s="11">
        <v>-35</v>
      </c>
      <c r="AA788" s="11">
        <v>6.3</v>
      </c>
      <c r="AB788" s="11">
        <v>125</v>
      </c>
      <c r="AC788" s="11">
        <v>-4.7</v>
      </c>
      <c r="AD788" s="11">
        <v>194</v>
      </c>
      <c r="AE788" s="11">
        <v>-1.6</v>
      </c>
      <c r="AF788" s="11">
        <v>211</v>
      </c>
      <c r="AG788" s="11">
        <v>-0.7</v>
      </c>
      <c r="AH788" s="11">
        <v>84</v>
      </c>
      <c r="AI788" s="11">
        <v>80</v>
      </c>
      <c r="AJ788" s="11">
        <v>194</v>
      </c>
      <c r="AK788" s="11" t="s">
        <v>34</v>
      </c>
      <c r="AL788" s="11">
        <v>4</v>
      </c>
      <c r="AM788" s="10">
        <v>3.9</v>
      </c>
      <c r="AN788" s="9">
        <v>473</v>
      </c>
      <c r="AO788" s="8" t="s">
        <v>1589</v>
      </c>
      <c r="AP788" s="8">
        <v>1000</v>
      </c>
      <c r="AQ788" s="8">
        <v>22.5</v>
      </c>
      <c r="AR788" s="8">
        <v>27</v>
      </c>
      <c r="AS788" s="8">
        <v>24</v>
      </c>
      <c r="AT788" s="8">
        <v>38</v>
      </c>
      <c r="AU788" s="8">
        <v>10.5</v>
      </c>
      <c r="AV788" s="8">
        <v>69</v>
      </c>
      <c r="AW788" s="8">
        <v>55</v>
      </c>
      <c r="AX788" s="8">
        <v>436</v>
      </c>
      <c r="AY788" s="8">
        <v>90</v>
      </c>
      <c r="AZ788" s="8" t="s">
        <v>54</v>
      </c>
      <c r="BA788" s="7">
        <v>3.4</v>
      </c>
      <c r="BB788" s="9"/>
      <c r="BC788" s="8" t="s">
        <v>1588</v>
      </c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7"/>
    </row>
    <row r="789" spans="1:68" ht="14.25" customHeight="1">
      <c r="A789" s="12">
        <v>132</v>
      </c>
      <c r="B789" s="14">
        <v>460</v>
      </c>
      <c r="C789" s="13" t="s">
        <v>555</v>
      </c>
      <c r="D789" s="13" t="s">
        <v>555</v>
      </c>
      <c r="E789" s="13" t="s">
        <v>1587</v>
      </c>
      <c r="F789" s="11">
        <v>-0.5</v>
      </c>
      <c r="G789" s="11">
        <v>-0.2</v>
      </c>
      <c r="H789" s="11">
        <v>2.2999999999999998</v>
      </c>
      <c r="I789" s="11">
        <v>8.1</v>
      </c>
      <c r="J789" s="11">
        <v>12.5</v>
      </c>
      <c r="K789" s="11">
        <v>15.9</v>
      </c>
      <c r="L789" s="11">
        <v>18.5</v>
      </c>
      <c r="M789" s="11">
        <v>17.899999999999999</v>
      </c>
      <c r="N789" s="11">
        <v>14.2</v>
      </c>
      <c r="O789" s="11">
        <v>9.4</v>
      </c>
      <c r="P789" s="11">
        <v>5.3</v>
      </c>
      <c r="Q789" s="11">
        <v>1.7</v>
      </c>
      <c r="R789" s="10">
        <v>8.8000000000000007</v>
      </c>
      <c r="S789" s="12">
        <v>460</v>
      </c>
      <c r="T789" s="8" t="s">
        <v>1585</v>
      </c>
      <c r="U789" s="11">
        <v>-15</v>
      </c>
      <c r="V789" s="11">
        <v>-13</v>
      </c>
      <c r="W789" s="11">
        <v>-13</v>
      </c>
      <c r="X789" s="11">
        <v>-11</v>
      </c>
      <c r="Y789" s="11" t="s">
        <v>49</v>
      </c>
      <c r="Z789" s="11">
        <v>-20</v>
      </c>
      <c r="AA789" s="11" t="s">
        <v>49</v>
      </c>
      <c r="AB789" s="11">
        <v>45</v>
      </c>
      <c r="AC789" s="11">
        <v>-0.6</v>
      </c>
      <c r="AD789" s="11">
        <v>173</v>
      </c>
      <c r="AE789" s="11">
        <v>2.4</v>
      </c>
      <c r="AF789" s="11">
        <v>197</v>
      </c>
      <c r="AG789" s="11">
        <v>3.2</v>
      </c>
      <c r="AH789" s="11">
        <v>65</v>
      </c>
      <c r="AI789" s="11">
        <v>51</v>
      </c>
      <c r="AJ789" s="11">
        <v>225</v>
      </c>
      <c r="AK789" s="11" t="s">
        <v>75</v>
      </c>
      <c r="AL789" s="11">
        <v>4.3</v>
      </c>
      <c r="AM789" s="10" t="s">
        <v>44</v>
      </c>
      <c r="AN789" s="9">
        <v>460</v>
      </c>
      <c r="AO789" s="8" t="s">
        <v>1586</v>
      </c>
      <c r="AP789" s="8">
        <v>865</v>
      </c>
      <c r="AQ789" s="8" t="s">
        <v>45</v>
      </c>
      <c r="AR789" s="8" t="s">
        <v>44</v>
      </c>
      <c r="AS789" s="8">
        <v>24.1</v>
      </c>
      <c r="AT789" s="8">
        <v>35</v>
      </c>
      <c r="AU789" s="8" t="s">
        <v>46</v>
      </c>
      <c r="AV789" s="8">
        <v>70</v>
      </c>
      <c r="AW789" s="8">
        <v>52</v>
      </c>
      <c r="AX789" s="8">
        <v>528</v>
      </c>
      <c r="AY789" s="8">
        <v>70</v>
      </c>
      <c r="AZ789" s="8" t="s">
        <v>54</v>
      </c>
      <c r="BA789" s="7">
        <v>0</v>
      </c>
      <c r="BB789" s="9"/>
      <c r="BC789" s="8" t="s">
        <v>1585</v>
      </c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7"/>
    </row>
    <row r="790" spans="1:68" ht="14.25" customHeight="1">
      <c r="A790" s="12">
        <v>133</v>
      </c>
      <c r="B790" s="14">
        <v>476</v>
      </c>
      <c r="C790" s="13" t="s">
        <v>774</v>
      </c>
      <c r="D790" s="13" t="s">
        <v>1021</v>
      </c>
      <c r="E790" s="13" t="s">
        <v>1584</v>
      </c>
      <c r="F790" s="11">
        <v>-8.3000000000000007</v>
      </c>
      <c r="G790" s="11">
        <v>-7.8</v>
      </c>
      <c r="H790" s="11">
        <v>-3.3</v>
      </c>
      <c r="I790" s="11">
        <v>4.8</v>
      </c>
      <c r="J790" s="11">
        <v>12.4</v>
      </c>
      <c r="K790" s="11">
        <v>15.9</v>
      </c>
      <c r="L790" s="11">
        <v>17.600000000000001</v>
      </c>
      <c r="M790" s="11">
        <v>16.100000000000001</v>
      </c>
      <c r="N790" s="11">
        <v>11</v>
      </c>
      <c r="O790" s="11">
        <v>5.0999999999999996</v>
      </c>
      <c r="P790" s="11">
        <v>-0.6</v>
      </c>
      <c r="Q790" s="11">
        <v>-5.4</v>
      </c>
      <c r="R790" s="10">
        <v>4.8</v>
      </c>
      <c r="S790" s="12">
        <v>476</v>
      </c>
      <c r="T790" s="8" t="s">
        <v>1582</v>
      </c>
      <c r="U790" s="11">
        <v>-35</v>
      </c>
      <c r="V790" s="11">
        <v>-30</v>
      </c>
      <c r="W790" s="11">
        <v>-29</v>
      </c>
      <c r="X790" s="11">
        <v>-26</v>
      </c>
      <c r="Y790" s="11">
        <v>-12</v>
      </c>
      <c r="Z790" s="11">
        <v>-40</v>
      </c>
      <c r="AA790" s="11">
        <v>6.3</v>
      </c>
      <c r="AB790" s="11">
        <v>139</v>
      </c>
      <c r="AC790" s="11">
        <v>-5.6</v>
      </c>
      <c r="AD790" s="11">
        <v>208</v>
      </c>
      <c r="AE790" s="11">
        <v>-2.4</v>
      </c>
      <c r="AF790" s="11">
        <v>226</v>
      </c>
      <c r="AG790" s="11">
        <v>-1.5</v>
      </c>
      <c r="AH790" s="11">
        <v>86</v>
      </c>
      <c r="AI790" s="11">
        <v>84</v>
      </c>
      <c r="AJ790" s="11">
        <v>205</v>
      </c>
      <c r="AK790" s="11" t="s">
        <v>34</v>
      </c>
      <c r="AL790" s="11">
        <v>5.3</v>
      </c>
      <c r="AM790" s="10">
        <v>4.4000000000000004</v>
      </c>
      <c r="AN790" s="9">
        <v>476</v>
      </c>
      <c r="AO790" s="8" t="s">
        <v>1583</v>
      </c>
      <c r="AP790" s="8">
        <v>990</v>
      </c>
      <c r="AQ790" s="8">
        <v>21.5</v>
      </c>
      <c r="AR790" s="8">
        <v>25</v>
      </c>
      <c r="AS790" s="8">
        <v>23</v>
      </c>
      <c r="AT790" s="8">
        <v>36</v>
      </c>
      <c r="AU790" s="8">
        <v>10</v>
      </c>
      <c r="AV790" s="8">
        <v>75</v>
      </c>
      <c r="AW790" s="8">
        <v>59</v>
      </c>
      <c r="AX790" s="8">
        <v>462</v>
      </c>
      <c r="AY790" s="8">
        <v>97</v>
      </c>
      <c r="AZ790" s="8" t="s">
        <v>1323</v>
      </c>
      <c r="BA790" s="7">
        <v>3.1</v>
      </c>
      <c r="BB790" s="9"/>
      <c r="BC790" s="8" t="s">
        <v>1582</v>
      </c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7"/>
    </row>
    <row r="791" spans="1:68" ht="14.25" customHeight="1">
      <c r="A791" s="12">
        <v>134</v>
      </c>
      <c r="B791" s="14">
        <v>20</v>
      </c>
      <c r="C791" s="13" t="s">
        <v>30</v>
      </c>
      <c r="D791" s="13" t="s">
        <v>99</v>
      </c>
      <c r="E791" s="13" t="s">
        <v>1579</v>
      </c>
      <c r="F791" s="11">
        <v>-31.2</v>
      </c>
      <c r="G791" s="11">
        <v>-24.6</v>
      </c>
      <c r="H791" s="11">
        <v>-14</v>
      </c>
      <c r="I791" s="11">
        <v>0.3</v>
      </c>
      <c r="J791" s="11">
        <v>9.1</v>
      </c>
      <c r="K791" s="11">
        <v>15.9</v>
      </c>
      <c r="L791" s="11">
        <v>19.3</v>
      </c>
      <c r="M791" s="11">
        <v>16.899999999999999</v>
      </c>
      <c r="N791" s="11">
        <v>9.9</v>
      </c>
      <c r="O791" s="11">
        <v>-0.6</v>
      </c>
      <c r="P791" s="11">
        <v>-16.3</v>
      </c>
      <c r="Q791" s="11">
        <v>-28.2</v>
      </c>
      <c r="R791" s="10">
        <v>-3.6</v>
      </c>
      <c r="S791" s="12">
        <v>20</v>
      </c>
      <c r="T791" s="8" t="s">
        <v>1581</v>
      </c>
      <c r="U791" s="11">
        <v>-46</v>
      </c>
      <c r="V791" s="11">
        <v>-44</v>
      </c>
      <c r="W791" s="11">
        <v>-43</v>
      </c>
      <c r="X791" s="11">
        <v>-42</v>
      </c>
      <c r="Y791" s="11">
        <v>-36</v>
      </c>
      <c r="Z791" s="11">
        <v>-52</v>
      </c>
      <c r="AA791" s="11">
        <v>15.9</v>
      </c>
      <c r="AB791" s="11">
        <v>183</v>
      </c>
      <c r="AC791" s="11">
        <v>-18.899999999999999</v>
      </c>
      <c r="AD791" s="11">
        <v>233</v>
      </c>
      <c r="AE791" s="11">
        <v>-14</v>
      </c>
      <c r="AF791" s="11">
        <v>247</v>
      </c>
      <c r="AG791" s="11">
        <v>-12.7</v>
      </c>
      <c r="AH791" s="11">
        <v>73</v>
      </c>
      <c r="AI791" s="11">
        <v>66</v>
      </c>
      <c r="AJ791" s="11">
        <v>50</v>
      </c>
      <c r="AK791" s="11" t="s">
        <v>48</v>
      </c>
      <c r="AL791" s="11">
        <v>1.5</v>
      </c>
      <c r="AM791" s="10" t="s">
        <v>44</v>
      </c>
      <c r="AN791" s="9">
        <v>20</v>
      </c>
      <c r="AO791" s="8" t="s">
        <v>1580</v>
      </c>
      <c r="AP791" s="8">
        <v>980</v>
      </c>
      <c r="AQ791" s="8">
        <v>23.3</v>
      </c>
      <c r="AR791" s="8">
        <v>27.4</v>
      </c>
      <c r="AS791" s="8">
        <v>25.7</v>
      </c>
      <c r="AT791" s="8">
        <v>40</v>
      </c>
      <c r="AU791" s="8">
        <v>13.5</v>
      </c>
      <c r="AV791" s="8">
        <v>80</v>
      </c>
      <c r="AW791" s="8">
        <v>63</v>
      </c>
      <c r="AX791" s="8">
        <v>554</v>
      </c>
      <c r="AY791" s="8">
        <v>107</v>
      </c>
      <c r="AZ791" s="8" t="s">
        <v>25</v>
      </c>
      <c r="BA791" s="7">
        <v>0</v>
      </c>
      <c r="BB791" s="9"/>
      <c r="BC791" s="8" t="s">
        <v>1579</v>
      </c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7"/>
    </row>
    <row r="792" spans="1:68" ht="14.25" customHeight="1">
      <c r="A792" s="12">
        <v>135</v>
      </c>
      <c r="B792" s="14">
        <v>474</v>
      </c>
      <c r="C792" s="13" t="s">
        <v>774</v>
      </c>
      <c r="D792" s="13" t="s">
        <v>1578</v>
      </c>
      <c r="E792" s="13" t="s">
        <v>1577</v>
      </c>
      <c r="F792" s="11">
        <v>-5.0999999999999996</v>
      </c>
      <c r="G792" s="11">
        <v>-4.4000000000000004</v>
      </c>
      <c r="H792" s="11">
        <v>-0.5</v>
      </c>
      <c r="I792" s="11">
        <v>6.3</v>
      </c>
      <c r="J792" s="11">
        <v>12.9</v>
      </c>
      <c r="K792" s="11">
        <v>16.100000000000001</v>
      </c>
      <c r="L792" s="11">
        <v>17.8</v>
      </c>
      <c r="M792" s="11">
        <v>16.7</v>
      </c>
      <c r="N792" s="11">
        <v>12.5</v>
      </c>
      <c r="O792" s="11">
        <v>7</v>
      </c>
      <c r="P792" s="11">
        <v>1.7</v>
      </c>
      <c r="Q792" s="11">
        <v>-2.7</v>
      </c>
      <c r="R792" s="10">
        <v>6.5</v>
      </c>
      <c r="S792" s="12">
        <v>474</v>
      </c>
      <c r="T792" s="8" t="s">
        <v>1575</v>
      </c>
      <c r="U792" s="11">
        <v>-31</v>
      </c>
      <c r="V792" s="11">
        <v>-26</v>
      </c>
      <c r="W792" s="11">
        <v>-25</v>
      </c>
      <c r="X792" s="11">
        <v>-22</v>
      </c>
      <c r="Y792" s="11">
        <v>-9</v>
      </c>
      <c r="Z792" s="11">
        <v>-36</v>
      </c>
      <c r="AA792" s="11">
        <v>5.7</v>
      </c>
      <c r="AB792" s="11">
        <v>113</v>
      </c>
      <c r="AC792" s="11">
        <v>-3.5</v>
      </c>
      <c r="AD792" s="11">
        <v>194</v>
      </c>
      <c r="AE792" s="11">
        <v>-0.5</v>
      </c>
      <c r="AF792" s="11">
        <v>213</v>
      </c>
      <c r="AG792" s="11">
        <v>0.4</v>
      </c>
      <c r="AH792" s="11">
        <v>87</v>
      </c>
      <c r="AI792" s="11">
        <v>83</v>
      </c>
      <c r="AJ792" s="11">
        <v>186</v>
      </c>
      <c r="AK792" s="11" t="s">
        <v>48</v>
      </c>
      <c r="AL792" s="11">
        <v>5.6</v>
      </c>
      <c r="AM792" s="10">
        <v>4.0999999999999996</v>
      </c>
      <c r="AN792" s="9">
        <v>474</v>
      </c>
      <c r="AO792" s="8" t="s">
        <v>1576</v>
      </c>
      <c r="AP792" s="8">
        <v>1000</v>
      </c>
      <c r="AQ792" s="8">
        <v>22</v>
      </c>
      <c r="AR792" s="8">
        <v>26.5</v>
      </c>
      <c r="AS792" s="8">
        <v>24</v>
      </c>
      <c r="AT792" s="8">
        <v>36</v>
      </c>
      <c r="AU792" s="8">
        <v>10.6</v>
      </c>
      <c r="AV792" s="8">
        <v>73</v>
      </c>
      <c r="AW792" s="8">
        <v>57</v>
      </c>
      <c r="AX792" s="8">
        <v>410</v>
      </c>
      <c r="AY792" s="8">
        <v>110</v>
      </c>
      <c r="AZ792" s="8" t="s">
        <v>43</v>
      </c>
      <c r="BA792" s="7">
        <v>0</v>
      </c>
      <c r="BB792" s="9"/>
      <c r="BC792" s="8" t="s">
        <v>1575</v>
      </c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7"/>
    </row>
    <row r="793" spans="1:68" ht="14.25" customHeight="1">
      <c r="A793" s="12">
        <v>136</v>
      </c>
      <c r="B793" s="14">
        <v>375</v>
      </c>
      <c r="C793" s="13" t="s">
        <v>30</v>
      </c>
      <c r="D793" s="13" t="s">
        <v>1574</v>
      </c>
      <c r="E793" s="13" t="s">
        <v>1571</v>
      </c>
      <c r="F793" s="11">
        <v>-3.8</v>
      </c>
      <c r="G793" s="11">
        <v>-2</v>
      </c>
      <c r="H793" s="11">
        <v>2.8</v>
      </c>
      <c r="I793" s="11">
        <v>10.3</v>
      </c>
      <c r="J793" s="11">
        <v>16.899999999999999</v>
      </c>
      <c r="K793" s="11">
        <v>21.2</v>
      </c>
      <c r="L793" s="11">
        <v>23.9</v>
      </c>
      <c r="M793" s="11">
        <v>23.2</v>
      </c>
      <c r="N793" s="11">
        <v>17.8</v>
      </c>
      <c r="O793" s="11">
        <v>10.4</v>
      </c>
      <c r="P793" s="11">
        <v>4.5</v>
      </c>
      <c r="Q793" s="11">
        <v>-0.7</v>
      </c>
      <c r="R793" s="10">
        <v>10.4</v>
      </c>
      <c r="S793" s="12">
        <v>375</v>
      </c>
      <c r="T793" s="8" t="s">
        <v>1573</v>
      </c>
      <c r="U793" s="11">
        <v>-23</v>
      </c>
      <c r="V793" s="11">
        <v>-22</v>
      </c>
      <c r="W793" s="11">
        <v>-20</v>
      </c>
      <c r="X793" s="11">
        <v>-18</v>
      </c>
      <c r="Y793" s="11">
        <v>-9</v>
      </c>
      <c r="Z793" s="11">
        <v>-32</v>
      </c>
      <c r="AA793" s="11">
        <v>7.1</v>
      </c>
      <c r="AB793" s="11">
        <v>77</v>
      </c>
      <c r="AC793" s="11">
        <v>-2.2000000000000002</v>
      </c>
      <c r="AD793" s="11">
        <v>160</v>
      </c>
      <c r="AE793" s="11">
        <v>0.9</v>
      </c>
      <c r="AF793" s="11">
        <v>178</v>
      </c>
      <c r="AG793" s="11">
        <v>1.7</v>
      </c>
      <c r="AH793" s="11">
        <v>89</v>
      </c>
      <c r="AI793" s="11">
        <v>81</v>
      </c>
      <c r="AJ793" s="11">
        <v>128</v>
      </c>
      <c r="AK793" s="11" t="s">
        <v>75</v>
      </c>
      <c r="AL793" s="11">
        <v>3.5</v>
      </c>
      <c r="AM793" s="10">
        <v>2</v>
      </c>
      <c r="AN793" s="9">
        <v>375</v>
      </c>
      <c r="AO793" s="8" t="s">
        <v>1572</v>
      </c>
      <c r="AP793" s="8">
        <v>995</v>
      </c>
      <c r="AQ793" s="8">
        <v>29</v>
      </c>
      <c r="AR793" s="8">
        <v>31.9</v>
      </c>
      <c r="AS793" s="8">
        <v>30.7</v>
      </c>
      <c r="AT793" s="8">
        <v>41</v>
      </c>
      <c r="AU793" s="8">
        <v>12.7</v>
      </c>
      <c r="AV793" s="8">
        <v>66</v>
      </c>
      <c r="AW793" s="8">
        <v>44</v>
      </c>
      <c r="AX793" s="8">
        <v>367</v>
      </c>
      <c r="AY793" s="8">
        <v>90</v>
      </c>
      <c r="AZ793" s="8" t="s">
        <v>63</v>
      </c>
      <c r="BA793" s="7">
        <v>0</v>
      </c>
      <c r="BB793" s="9">
        <v>340</v>
      </c>
      <c r="BC793" s="8" t="s">
        <v>1571</v>
      </c>
      <c r="BD793" s="8">
        <v>4.5</v>
      </c>
      <c r="BE793" s="8">
        <v>4.9000000000000004</v>
      </c>
      <c r="BF793" s="8">
        <v>6.2</v>
      </c>
      <c r="BG793" s="8">
        <v>9.1</v>
      </c>
      <c r="BH793" s="8">
        <v>13.3</v>
      </c>
      <c r="BI793" s="8">
        <v>16.5</v>
      </c>
      <c r="BJ793" s="8">
        <v>18.7</v>
      </c>
      <c r="BK793" s="8">
        <v>18.5</v>
      </c>
      <c r="BL793" s="8">
        <v>14.8</v>
      </c>
      <c r="BM793" s="8">
        <v>10.5</v>
      </c>
      <c r="BN793" s="8">
        <v>7.7</v>
      </c>
      <c r="BO793" s="8">
        <v>5.5</v>
      </c>
      <c r="BP793" s="7">
        <v>10.9</v>
      </c>
    </row>
    <row r="794" spans="1:68" ht="14.25" customHeight="1">
      <c r="A794" s="12">
        <v>137</v>
      </c>
      <c r="B794" s="14">
        <v>352</v>
      </c>
      <c r="C794" s="13" t="s">
        <v>30</v>
      </c>
      <c r="D794" s="13" t="s">
        <v>86</v>
      </c>
      <c r="E794" s="13" t="s">
        <v>1568</v>
      </c>
      <c r="F794" s="11">
        <v>-14.8</v>
      </c>
      <c r="G794" s="11">
        <v>-11.9</v>
      </c>
      <c r="H794" s="11">
        <v>-6</v>
      </c>
      <c r="I794" s="11">
        <v>0.4</v>
      </c>
      <c r="J794" s="11">
        <v>4.3</v>
      </c>
      <c r="K794" s="11">
        <v>8.4</v>
      </c>
      <c r="L794" s="11">
        <v>13</v>
      </c>
      <c r="M794" s="11">
        <v>15.9</v>
      </c>
      <c r="N794" s="11">
        <v>13.1</v>
      </c>
      <c r="O794" s="11">
        <v>5.9</v>
      </c>
      <c r="P794" s="11">
        <v>-4</v>
      </c>
      <c r="Q794" s="11">
        <v>-11.8</v>
      </c>
      <c r="R794" s="10">
        <v>1</v>
      </c>
      <c r="S794" s="12">
        <v>352</v>
      </c>
      <c r="T794" s="8" t="s">
        <v>1570</v>
      </c>
      <c r="U794" s="11">
        <v>-26</v>
      </c>
      <c r="V794" s="11">
        <v>-25</v>
      </c>
      <c r="W794" s="11">
        <v>-23</v>
      </c>
      <c r="X794" s="11">
        <v>-22</v>
      </c>
      <c r="Y794" s="11">
        <v>-20</v>
      </c>
      <c r="Z794" s="11">
        <v>-36</v>
      </c>
      <c r="AA794" s="11">
        <v>8.6999999999999993</v>
      </c>
      <c r="AB794" s="11">
        <v>161</v>
      </c>
      <c r="AC794" s="11">
        <v>-8.8000000000000007</v>
      </c>
      <c r="AD794" s="11">
        <v>248</v>
      </c>
      <c r="AE794" s="11">
        <v>-4.3</v>
      </c>
      <c r="AF794" s="11">
        <v>270</v>
      </c>
      <c r="AG794" s="11">
        <v>-3.2</v>
      </c>
      <c r="AH794" s="11">
        <v>54</v>
      </c>
      <c r="AI794" s="11">
        <v>47</v>
      </c>
      <c r="AJ794" s="11" t="s">
        <v>84</v>
      </c>
      <c r="AK794" s="11" t="s">
        <v>75</v>
      </c>
      <c r="AL794" s="11" t="s">
        <v>44</v>
      </c>
      <c r="AM794" s="10" t="s">
        <v>44</v>
      </c>
      <c r="AN794" s="9">
        <v>352</v>
      </c>
      <c r="AO794" s="8" t="s">
        <v>1569</v>
      </c>
      <c r="AP794" s="8">
        <v>1005</v>
      </c>
      <c r="AQ794" s="8">
        <v>16.8</v>
      </c>
      <c r="AR794" s="8">
        <v>21.2</v>
      </c>
      <c r="AS794" s="8">
        <v>19.2</v>
      </c>
      <c r="AT794" s="8">
        <v>36</v>
      </c>
      <c r="AU794" s="8">
        <v>6.2</v>
      </c>
      <c r="AV794" s="8">
        <v>94</v>
      </c>
      <c r="AW794" s="8">
        <v>86</v>
      </c>
      <c r="AX794" s="8">
        <v>601</v>
      </c>
      <c r="AY794" s="8" t="s">
        <v>64</v>
      </c>
      <c r="AZ794" s="8" t="s">
        <v>82</v>
      </c>
      <c r="BA794" s="7" t="s">
        <v>46</v>
      </c>
      <c r="BB794" s="9">
        <v>317</v>
      </c>
      <c r="BC794" s="8" t="s">
        <v>1568</v>
      </c>
      <c r="BD794" s="8">
        <v>1.2</v>
      </c>
      <c r="BE794" s="8">
        <v>1.7</v>
      </c>
      <c r="BF794" s="8">
        <v>2.9</v>
      </c>
      <c r="BG794" s="8">
        <v>4.8</v>
      </c>
      <c r="BH794" s="8">
        <v>7</v>
      </c>
      <c r="BI794" s="8">
        <v>10.199999999999999</v>
      </c>
      <c r="BJ794" s="8">
        <v>14.4</v>
      </c>
      <c r="BK794" s="8">
        <v>16.5</v>
      </c>
      <c r="BL794" s="8">
        <v>12.4</v>
      </c>
      <c r="BM794" s="8">
        <v>6.5</v>
      </c>
      <c r="BN794" s="8">
        <v>2.8</v>
      </c>
      <c r="BO794" s="8">
        <v>1.5</v>
      </c>
      <c r="BP794" s="7">
        <v>6.8</v>
      </c>
    </row>
    <row r="795" spans="1:68" ht="14.25" customHeight="1">
      <c r="A795" s="12">
        <v>138</v>
      </c>
      <c r="B795" s="14">
        <v>491</v>
      </c>
      <c r="C795" s="13" t="s">
        <v>531</v>
      </c>
      <c r="D795" s="13" t="s">
        <v>531</v>
      </c>
      <c r="E795" s="13" t="s">
        <v>1567</v>
      </c>
      <c r="F795" s="11">
        <v>6.1</v>
      </c>
      <c r="G795" s="11">
        <v>6.8</v>
      </c>
      <c r="H795" s="11">
        <v>8.8000000000000007</v>
      </c>
      <c r="I795" s="11">
        <v>12.9</v>
      </c>
      <c r="J795" s="11">
        <v>16.7</v>
      </c>
      <c r="K795" s="11">
        <v>20.5</v>
      </c>
      <c r="L795" s="11">
        <v>23</v>
      </c>
      <c r="M795" s="11">
        <v>23.1</v>
      </c>
      <c r="N795" s="11">
        <v>20</v>
      </c>
      <c r="O795" s="11">
        <v>15.6</v>
      </c>
      <c r="P795" s="11">
        <v>11.8</v>
      </c>
      <c r="Q795" s="11">
        <v>8.1999999999999993</v>
      </c>
      <c r="R795" s="10">
        <v>14.5</v>
      </c>
      <c r="S795" s="12">
        <v>491</v>
      </c>
      <c r="T795" s="8" t="s">
        <v>1565</v>
      </c>
      <c r="U795" s="11">
        <v>-8</v>
      </c>
      <c r="V795" s="11">
        <v>-7</v>
      </c>
      <c r="W795" s="11">
        <v>-6</v>
      </c>
      <c r="X795" s="11">
        <v>-3</v>
      </c>
      <c r="Y795" s="11">
        <v>-2</v>
      </c>
      <c r="Z795" s="11">
        <v>-13</v>
      </c>
      <c r="AA795" s="11">
        <v>6.9</v>
      </c>
      <c r="AB795" s="11">
        <v>0</v>
      </c>
      <c r="AC795" s="11" t="s">
        <v>50</v>
      </c>
      <c r="AD795" s="11">
        <v>77</v>
      </c>
      <c r="AE795" s="11">
        <v>6.5</v>
      </c>
      <c r="AF795" s="11">
        <v>114</v>
      </c>
      <c r="AG795" s="11">
        <v>7.4</v>
      </c>
      <c r="AH795" s="11" t="s">
        <v>49</v>
      </c>
      <c r="AI795" s="11">
        <v>66</v>
      </c>
      <c r="AJ795" s="11">
        <v>711</v>
      </c>
      <c r="AK795" s="11" t="s">
        <v>199</v>
      </c>
      <c r="AL795" s="11" t="s">
        <v>44</v>
      </c>
      <c r="AM795" s="10">
        <v>2.9</v>
      </c>
      <c r="AN795" s="9">
        <v>491</v>
      </c>
      <c r="AO795" s="8" t="s">
        <v>1566</v>
      </c>
      <c r="AP795" s="8" t="s">
        <v>64</v>
      </c>
      <c r="AQ795" s="8">
        <v>32</v>
      </c>
      <c r="AR795" s="8">
        <v>26</v>
      </c>
      <c r="AS795" s="8">
        <v>30.4</v>
      </c>
      <c r="AT795" s="8">
        <v>39</v>
      </c>
      <c r="AU795" s="8">
        <v>8.5</v>
      </c>
      <c r="AV795" s="8">
        <v>78</v>
      </c>
      <c r="AW795" s="8">
        <v>67</v>
      </c>
      <c r="AX795" s="8" t="s">
        <v>44</v>
      </c>
      <c r="AY795" s="8">
        <v>168</v>
      </c>
      <c r="AZ795" s="8" t="s">
        <v>37</v>
      </c>
      <c r="BA795" s="7">
        <v>1.1000000000000001</v>
      </c>
      <c r="BB795" s="9"/>
      <c r="BC795" s="8" t="s">
        <v>1565</v>
      </c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7"/>
    </row>
    <row r="796" spans="1:68" ht="14.25" customHeight="1">
      <c r="A796" s="12">
        <v>139</v>
      </c>
      <c r="B796" s="14">
        <v>590</v>
      </c>
      <c r="C796" s="13" t="s">
        <v>117</v>
      </c>
      <c r="D796" s="13" t="s">
        <v>1001</v>
      </c>
      <c r="E796" s="13" t="s">
        <v>1563</v>
      </c>
      <c r="F796" s="11">
        <v>2.9</v>
      </c>
      <c r="G796" s="11">
        <v>5.3</v>
      </c>
      <c r="H796" s="11">
        <v>9.8000000000000007</v>
      </c>
      <c r="I796" s="11">
        <v>16.600000000000001</v>
      </c>
      <c r="J796" s="11">
        <v>22.6</v>
      </c>
      <c r="K796" s="11">
        <v>27.7</v>
      </c>
      <c r="L796" s="11">
        <v>29.9</v>
      </c>
      <c r="M796" s="11">
        <v>28.2</v>
      </c>
      <c r="N796" s="11">
        <v>22.9</v>
      </c>
      <c r="O796" s="11">
        <v>16.2</v>
      </c>
      <c r="P796" s="11">
        <v>9.6</v>
      </c>
      <c r="Q796" s="11">
        <v>5</v>
      </c>
      <c r="R796" s="10">
        <v>16.399999999999999</v>
      </c>
      <c r="S796" s="12">
        <v>579</v>
      </c>
      <c r="T796" s="8" t="s">
        <v>1563</v>
      </c>
      <c r="U796" s="11">
        <v>-16</v>
      </c>
      <c r="V796" s="11">
        <v>-14</v>
      </c>
      <c r="W796" s="11">
        <v>-13</v>
      </c>
      <c r="X796" s="11" t="s">
        <v>64</v>
      </c>
      <c r="Y796" s="11">
        <v>-2</v>
      </c>
      <c r="Z796" s="11">
        <v>-23</v>
      </c>
      <c r="AA796" s="11">
        <v>9.4</v>
      </c>
      <c r="AB796" s="11">
        <v>0</v>
      </c>
      <c r="AC796" s="11" t="s">
        <v>50</v>
      </c>
      <c r="AD796" s="11">
        <v>100</v>
      </c>
      <c r="AE796" s="11">
        <v>4.7</v>
      </c>
      <c r="AF796" s="11" t="s">
        <v>114</v>
      </c>
      <c r="AG796" s="11" t="s">
        <v>44</v>
      </c>
      <c r="AH796" s="11" t="s">
        <v>49</v>
      </c>
      <c r="AI796" s="11" t="s">
        <v>49</v>
      </c>
      <c r="AJ796" s="11" t="s">
        <v>84</v>
      </c>
      <c r="AK796" s="11" t="s">
        <v>44</v>
      </c>
      <c r="AL796" s="11">
        <v>4.7</v>
      </c>
      <c r="AM796" s="10" t="s">
        <v>44</v>
      </c>
      <c r="AN796" s="9">
        <v>580</v>
      </c>
      <c r="AO796" s="8" t="s">
        <v>1564</v>
      </c>
      <c r="AP796" s="8">
        <v>950</v>
      </c>
      <c r="AQ796" s="8">
        <v>35.799999999999997</v>
      </c>
      <c r="AR796" s="8">
        <v>40.1</v>
      </c>
      <c r="AS796" s="8">
        <v>38.1</v>
      </c>
      <c r="AT796" s="8">
        <v>48</v>
      </c>
      <c r="AU796" s="8">
        <v>16.8</v>
      </c>
      <c r="AV796" s="8" t="s">
        <v>45</v>
      </c>
      <c r="AW796" s="8" t="s">
        <v>44</v>
      </c>
      <c r="AX796" s="8" t="s">
        <v>44</v>
      </c>
      <c r="AY796" s="8" t="s">
        <v>64</v>
      </c>
      <c r="AZ796" s="8" t="s">
        <v>114</v>
      </c>
      <c r="BA796" s="7">
        <v>0</v>
      </c>
      <c r="BB796" s="9"/>
      <c r="BC796" s="8" t="s">
        <v>1563</v>
      </c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7"/>
    </row>
    <row r="797" spans="1:68" ht="14.25" customHeight="1">
      <c r="A797" s="12">
        <v>140</v>
      </c>
      <c r="B797" s="14">
        <v>544</v>
      </c>
      <c r="C797" s="13" t="s">
        <v>158</v>
      </c>
      <c r="D797" s="13" t="s">
        <v>262</v>
      </c>
      <c r="E797" s="13" t="s">
        <v>1561</v>
      </c>
      <c r="F797" s="11">
        <v>-7.6</v>
      </c>
      <c r="G797" s="11">
        <v>-4.5</v>
      </c>
      <c r="H797" s="11">
        <v>2.5</v>
      </c>
      <c r="I797" s="11">
        <v>9.5</v>
      </c>
      <c r="J797" s="11">
        <v>13.6</v>
      </c>
      <c r="K797" s="11">
        <v>16.3</v>
      </c>
      <c r="L797" s="11">
        <v>19.2</v>
      </c>
      <c r="M797" s="11">
        <v>19.2</v>
      </c>
      <c r="N797" s="11">
        <v>14.5</v>
      </c>
      <c r="O797" s="11">
        <v>7.9</v>
      </c>
      <c r="P797" s="11">
        <v>1.4</v>
      </c>
      <c r="Q797" s="11">
        <v>-4</v>
      </c>
      <c r="R797" s="10">
        <v>7.3</v>
      </c>
      <c r="S797" s="12">
        <v>544</v>
      </c>
      <c r="T797" s="8" t="s">
        <v>1561</v>
      </c>
      <c r="U797" s="11">
        <v>-24</v>
      </c>
      <c r="V797" s="11">
        <v>-22</v>
      </c>
      <c r="W797" s="11">
        <v>-20</v>
      </c>
      <c r="X797" s="11">
        <v>-20</v>
      </c>
      <c r="Y797" s="11" t="s">
        <v>49</v>
      </c>
      <c r="Z797" s="11" t="s">
        <v>44</v>
      </c>
      <c r="AA797" s="11" t="s">
        <v>49</v>
      </c>
      <c r="AB797" s="11" t="s">
        <v>84</v>
      </c>
      <c r="AC797" s="11" t="s">
        <v>45</v>
      </c>
      <c r="AD797" s="11" t="s">
        <v>84</v>
      </c>
      <c r="AE797" s="11" t="s">
        <v>44</v>
      </c>
      <c r="AF797" s="11" t="s">
        <v>114</v>
      </c>
      <c r="AG797" s="11" t="s">
        <v>44</v>
      </c>
      <c r="AH797" s="11" t="s">
        <v>49</v>
      </c>
      <c r="AI797" s="11">
        <v>56</v>
      </c>
      <c r="AJ797" s="11">
        <v>195</v>
      </c>
      <c r="AK797" s="11" t="s">
        <v>44</v>
      </c>
      <c r="AL797" s="11" t="s">
        <v>44</v>
      </c>
      <c r="AM797" s="10" t="s">
        <v>44</v>
      </c>
      <c r="AN797" s="9">
        <v>544</v>
      </c>
      <c r="AO797" s="8" t="s">
        <v>1562</v>
      </c>
      <c r="AP797" s="8" t="s">
        <v>64</v>
      </c>
      <c r="AQ797" s="8" t="s">
        <v>45</v>
      </c>
      <c r="AR797" s="8" t="s">
        <v>44</v>
      </c>
      <c r="AS797" s="8" t="s">
        <v>45</v>
      </c>
      <c r="AT797" s="8">
        <v>37</v>
      </c>
      <c r="AU797" s="8" t="s">
        <v>46</v>
      </c>
      <c r="AV797" s="8">
        <v>55</v>
      </c>
      <c r="AW797" s="8">
        <v>31</v>
      </c>
      <c r="AX797" s="8">
        <v>325</v>
      </c>
      <c r="AY797" s="8">
        <v>70</v>
      </c>
      <c r="AZ797" s="8" t="s">
        <v>114</v>
      </c>
      <c r="BA797" s="7" t="s">
        <v>46</v>
      </c>
      <c r="BB797" s="9"/>
      <c r="BC797" s="8" t="s">
        <v>1561</v>
      </c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7"/>
    </row>
    <row r="798" spans="1:68" ht="14.25" customHeight="1">
      <c r="A798" s="12">
        <v>141</v>
      </c>
      <c r="B798" s="14">
        <v>260</v>
      </c>
      <c r="C798" s="13" t="s">
        <v>30</v>
      </c>
      <c r="D798" s="13" t="s">
        <v>154</v>
      </c>
      <c r="E798" s="13" t="s">
        <v>1558</v>
      </c>
      <c r="F798" s="11">
        <v>-20.5</v>
      </c>
      <c r="G798" s="11">
        <v>-16.7</v>
      </c>
      <c r="H798" s="11">
        <v>-6.7</v>
      </c>
      <c r="I798" s="11">
        <v>4.5</v>
      </c>
      <c r="J798" s="11">
        <v>12.1</v>
      </c>
      <c r="K798" s="11">
        <v>17.399999999999999</v>
      </c>
      <c r="L798" s="11">
        <v>21.1</v>
      </c>
      <c r="M798" s="11">
        <v>20.2</v>
      </c>
      <c r="N798" s="11">
        <v>13.7</v>
      </c>
      <c r="O798" s="11">
        <v>5.4</v>
      </c>
      <c r="P798" s="11">
        <v>-6.5</v>
      </c>
      <c r="Q798" s="11">
        <v>-17.2</v>
      </c>
      <c r="R798" s="10">
        <v>2.2000000000000002</v>
      </c>
      <c r="S798" s="12">
        <v>260</v>
      </c>
      <c r="T798" s="8" t="s">
        <v>1560</v>
      </c>
      <c r="U798" s="11">
        <v>-36</v>
      </c>
      <c r="V798" s="11">
        <v>-34</v>
      </c>
      <c r="W798" s="11">
        <v>-33</v>
      </c>
      <c r="X798" s="11">
        <v>-31</v>
      </c>
      <c r="Y798" s="11">
        <v>-25</v>
      </c>
      <c r="Z798" s="11">
        <v>-42</v>
      </c>
      <c r="AA798" s="11">
        <v>10.6</v>
      </c>
      <c r="AB798" s="11">
        <v>155</v>
      </c>
      <c r="AC798" s="11">
        <v>-12.6</v>
      </c>
      <c r="AD798" s="11">
        <v>205</v>
      </c>
      <c r="AE798" s="11">
        <v>-8.5</v>
      </c>
      <c r="AF798" s="11">
        <v>220</v>
      </c>
      <c r="AG798" s="11">
        <v>-7.2</v>
      </c>
      <c r="AH798" s="11">
        <v>73</v>
      </c>
      <c r="AI798" s="11">
        <v>66</v>
      </c>
      <c r="AJ798" s="11">
        <v>87</v>
      </c>
      <c r="AK798" s="11" t="s">
        <v>39</v>
      </c>
      <c r="AL798" s="11">
        <v>4.0999999999999996</v>
      </c>
      <c r="AM798" s="10">
        <v>3.5</v>
      </c>
      <c r="AN798" s="9">
        <v>260</v>
      </c>
      <c r="AO798" s="8" t="s">
        <v>1559</v>
      </c>
      <c r="AP798" s="8">
        <v>1000</v>
      </c>
      <c r="AQ798" s="8">
        <v>24.1</v>
      </c>
      <c r="AR798" s="8">
        <v>26.9</v>
      </c>
      <c r="AS798" s="8">
        <v>26.6</v>
      </c>
      <c r="AT798" s="8">
        <v>37</v>
      </c>
      <c r="AU798" s="8">
        <v>10</v>
      </c>
      <c r="AV798" s="8">
        <v>81</v>
      </c>
      <c r="AW798" s="8">
        <v>69</v>
      </c>
      <c r="AX798" s="8">
        <v>557</v>
      </c>
      <c r="AY798" s="8">
        <v>113</v>
      </c>
      <c r="AZ798" s="8" t="s">
        <v>82</v>
      </c>
      <c r="BA798" s="7">
        <v>0</v>
      </c>
      <c r="BB798" s="9">
        <v>231</v>
      </c>
      <c r="BC798" s="8" t="s">
        <v>1558</v>
      </c>
      <c r="BD798" s="8">
        <v>1</v>
      </c>
      <c r="BE798" s="8">
        <v>1.3</v>
      </c>
      <c r="BF798" s="8">
        <v>2.6</v>
      </c>
      <c r="BG798" s="8">
        <v>5.2</v>
      </c>
      <c r="BH798" s="8">
        <v>9</v>
      </c>
      <c r="BI798" s="8">
        <v>15.2</v>
      </c>
      <c r="BJ798" s="8">
        <v>20.399999999999999</v>
      </c>
      <c r="BK798" s="8">
        <v>19.8</v>
      </c>
      <c r="BL798" s="8">
        <v>12.3</v>
      </c>
      <c r="BM798" s="8">
        <v>6.2</v>
      </c>
      <c r="BN798" s="8">
        <v>2.9</v>
      </c>
      <c r="BO798" s="8">
        <v>1.3</v>
      </c>
      <c r="BP798" s="7">
        <v>8.1</v>
      </c>
    </row>
    <row r="799" spans="1:68" ht="14.25" customHeight="1">
      <c r="A799" s="12">
        <v>142</v>
      </c>
      <c r="B799" s="14">
        <v>21</v>
      </c>
      <c r="C799" s="13" t="s">
        <v>30</v>
      </c>
      <c r="D799" s="13" t="s">
        <v>99</v>
      </c>
      <c r="E799" s="13" t="s">
        <v>1555</v>
      </c>
      <c r="F799" s="11">
        <v>-31.1</v>
      </c>
      <c r="G799" s="11">
        <v>-24.9</v>
      </c>
      <c r="H799" s="11">
        <v>-15.1</v>
      </c>
      <c r="I799" s="11">
        <v>-1.9</v>
      </c>
      <c r="J799" s="11">
        <v>7.5</v>
      </c>
      <c r="K799" s="11">
        <v>14.4</v>
      </c>
      <c r="L799" s="11">
        <v>17.899999999999999</v>
      </c>
      <c r="M799" s="11">
        <v>15.3</v>
      </c>
      <c r="N799" s="11">
        <v>8.1999999999999993</v>
      </c>
      <c r="O799" s="11">
        <v>-3.3</v>
      </c>
      <c r="P799" s="11">
        <v>-18.8</v>
      </c>
      <c r="Q799" s="11">
        <v>-28.9</v>
      </c>
      <c r="R799" s="10">
        <v>-5.0999999999999996</v>
      </c>
      <c r="S799" s="12">
        <v>21</v>
      </c>
      <c r="T799" s="8" t="s">
        <v>1557</v>
      </c>
      <c r="U799" s="11">
        <v>-47</v>
      </c>
      <c r="V799" s="11">
        <v>-46</v>
      </c>
      <c r="W799" s="11">
        <v>-46</v>
      </c>
      <c r="X799" s="11">
        <v>-43</v>
      </c>
      <c r="Y799" s="11">
        <v>-36</v>
      </c>
      <c r="Z799" s="11">
        <v>-54</v>
      </c>
      <c r="AA799" s="11">
        <v>13.6</v>
      </c>
      <c r="AB799" s="11">
        <v>196</v>
      </c>
      <c r="AC799" s="11">
        <v>-18.8</v>
      </c>
      <c r="AD799" s="11">
        <v>244</v>
      </c>
      <c r="AE799" s="11">
        <v>-14.3</v>
      </c>
      <c r="AF799" s="11">
        <v>261</v>
      </c>
      <c r="AG799" s="11">
        <v>-12.8</v>
      </c>
      <c r="AH799" s="11">
        <v>66</v>
      </c>
      <c r="AI799" s="11">
        <v>59</v>
      </c>
      <c r="AJ799" s="11">
        <v>57</v>
      </c>
      <c r="AK799" s="11" t="s">
        <v>75</v>
      </c>
      <c r="AL799" s="11">
        <v>5.2</v>
      </c>
      <c r="AM799" s="10">
        <v>1.7</v>
      </c>
      <c r="AN799" s="9">
        <v>21</v>
      </c>
      <c r="AO799" s="8" t="s">
        <v>1556</v>
      </c>
      <c r="AP799" s="8">
        <v>975</v>
      </c>
      <c r="AQ799" s="8">
        <v>22.4</v>
      </c>
      <c r="AR799" s="8">
        <v>26.6</v>
      </c>
      <c r="AS799" s="8">
        <v>24.8</v>
      </c>
      <c r="AT799" s="8">
        <v>37</v>
      </c>
      <c r="AU799" s="8">
        <v>13.8</v>
      </c>
      <c r="AV799" s="8">
        <v>77</v>
      </c>
      <c r="AW799" s="8">
        <v>61</v>
      </c>
      <c r="AX799" s="8">
        <v>482</v>
      </c>
      <c r="AY799" s="8">
        <v>90</v>
      </c>
      <c r="AZ799" s="8" t="s">
        <v>54</v>
      </c>
      <c r="BA799" s="7">
        <v>0</v>
      </c>
      <c r="BB799" s="9"/>
      <c r="BC799" s="8" t="s">
        <v>1555</v>
      </c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7"/>
    </row>
    <row r="800" spans="1:68" ht="14.25" customHeight="1">
      <c r="A800" s="12">
        <v>143</v>
      </c>
      <c r="B800" s="14">
        <v>380</v>
      </c>
      <c r="C800" s="13" t="s">
        <v>30</v>
      </c>
      <c r="D800" s="13" t="s">
        <v>162</v>
      </c>
      <c r="E800" s="13" t="s">
        <v>1552</v>
      </c>
      <c r="F800" s="11">
        <v>-22</v>
      </c>
      <c r="G800" s="11">
        <v>-19.600000000000001</v>
      </c>
      <c r="H800" s="11">
        <v>-10.4</v>
      </c>
      <c r="I800" s="11">
        <v>-0.4</v>
      </c>
      <c r="J800" s="11">
        <v>8</v>
      </c>
      <c r="K800" s="11">
        <v>14.4</v>
      </c>
      <c r="L800" s="11">
        <v>16.899999999999999</v>
      </c>
      <c r="M800" s="11">
        <v>14.2</v>
      </c>
      <c r="N800" s="11">
        <v>7</v>
      </c>
      <c r="O800" s="11">
        <v>-1.4</v>
      </c>
      <c r="P800" s="11">
        <v>-12.6</v>
      </c>
      <c r="Q800" s="11">
        <v>-19.899999999999999</v>
      </c>
      <c r="R800" s="10">
        <v>-2.2000000000000002</v>
      </c>
      <c r="S800" s="12">
        <v>380</v>
      </c>
      <c r="T800" s="8" t="s">
        <v>1554</v>
      </c>
      <c r="U800" s="11">
        <v>-40</v>
      </c>
      <c r="V800" s="11">
        <v>-37</v>
      </c>
      <c r="W800" s="11">
        <v>-38</v>
      </c>
      <c r="X800" s="11">
        <v>-34</v>
      </c>
      <c r="Y800" s="11">
        <v>-27</v>
      </c>
      <c r="Z800" s="11">
        <v>-48</v>
      </c>
      <c r="AA800" s="11">
        <v>13.9</v>
      </c>
      <c r="AB800" s="11">
        <v>188</v>
      </c>
      <c r="AC800" s="11">
        <v>-13.7</v>
      </c>
      <c r="AD800" s="11">
        <v>247</v>
      </c>
      <c r="AE800" s="11">
        <v>-9.5</v>
      </c>
      <c r="AF800" s="11">
        <v>265</v>
      </c>
      <c r="AG800" s="11">
        <v>-8.1999999999999993</v>
      </c>
      <c r="AH800" s="11">
        <v>72</v>
      </c>
      <c r="AI800" s="11">
        <v>64</v>
      </c>
      <c r="AJ800" s="11">
        <v>28</v>
      </c>
      <c r="AK800" s="11" t="s">
        <v>75</v>
      </c>
      <c r="AL800" s="11" t="s">
        <v>44</v>
      </c>
      <c r="AM800" s="10">
        <v>2</v>
      </c>
      <c r="AN800" s="9">
        <v>380</v>
      </c>
      <c r="AO800" s="8" t="s">
        <v>1553</v>
      </c>
      <c r="AP800" s="8">
        <v>920</v>
      </c>
      <c r="AQ800" s="8">
        <v>22</v>
      </c>
      <c r="AR800" s="8">
        <v>26.2</v>
      </c>
      <c r="AS800" s="8">
        <v>24.4</v>
      </c>
      <c r="AT800" s="8">
        <v>37</v>
      </c>
      <c r="AU800" s="8">
        <v>14.6</v>
      </c>
      <c r="AV800" s="8">
        <v>74</v>
      </c>
      <c r="AW800" s="8">
        <v>56</v>
      </c>
      <c r="AX800" s="8">
        <v>377</v>
      </c>
      <c r="AY800" s="8" t="s">
        <v>64</v>
      </c>
      <c r="AZ800" s="8" t="s">
        <v>54</v>
      </c>
      <c r="BA800" s="7" t="s">
        <v>46</v>
      </c>
      <c r="BB800" s="9">
        <v>344</v>
      </c>
      <c r="BC800" s="8" t="s">
        <v>1552</v>
      </c>
      <c r="BD800" s="8">
        <v>0.9</v>
      </c>
      <c r="BE800" s="8">
        <v>1</v>
      </c>
      <c r="BF800" s="8">
        <v>1.8</v>
      </c>
      <c r="BG800" s="8">
        <v>3</v>
      </c>
      <c r="BH800" s="8">
        <v>4.9000000000000004</v>
      </c>
      <c r="BI800" s="8">
        <v>9.8000000000000007</v>
      </c>
      <c r="BJ800" s="8">
        <v>13.8</v>
      </c>
      <c r="BK800" s="8">
        <v>12.2</v>
      </c>
      <c r="BL800" s="8">
        <v>6.9</v>
      </c>
      <c r="BM800" s="8">
        <v>3.6</v>
      </c>
      <c r="BN800" s="8">
        <v>1.8</v>
      </c>
      <c r="BO800" s="8">
        <v>1.1000000000000001</v>
      </c>
      <c r="BP800" s="7">
        <v>5.0999999999999996</v>
      </c>
    </row>
    <row r="801" spans="1:68" ht="14.25" customHeight="1">
      <c r="A801" s="12">
        <v>144</v>
      </c>
      <c r="B801" s="14">
        <v>567</v>
      </c>
      <c r="C801" s="17" t="s">
        <v>208</v>
      </c>
      <c r="D801" s="17" t="s">
        <v>207</v>
      </c>
      <c r="E801" s="13" t="s">
        <v>1550</v>
      </c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0"/>
      <c r="S801" s="16">
        <v>567</v>
      </c>
      <c r="T801" s="8" t="s">
        <v>1550</v>
      </c>
      <c r="U801" s="11">
        <v>-23</v>
      </c>
      <c r="V801" s="11">
        <v>-19</v>
      </c>
      <c r="W801" s="11">
        <v>-18</v>
      </c>
      <c r="X801" s="11">
        <v>-15</v>
      </c>
      <c r="Y801" s="11">
        <v>-6</v>
      </c>
      <c r="Z801" s="11">
        <v>-31</v>
      </c>
      <c r="AA801" s="11">
        <v>10.199999999999999</v>
      </c>
      <c r="AB801" s="11">
        <v>51</v>
      </c>
      <c r="AC801" s="11">
        <v>-0.6</v>
      </c>
      <c r="AD801" s="11">
        <v>135</v>
      </c>
      <c r="AE801" s="11">
        <v>1.4</v>
      </c>
      <c r="AF801" s="11">
        <v>151</v>
      </c>
      <c r="AG801" s="11">
        <v>2.2000000000000002</v>
      </c>
      <c r="AH801" s="11" t="s">
        <v>49</v>
      </c>
      <c r="AI801" s="11">
        <v>58</v>
      </c>
      <c r="AJ801" s="11">
        <v>81</v>
      </c>
      <c r="AK801" s="11" t="s">
        <v>66</v>
      </c>
      <c r="AL801" s="11">
        <v>4.7</v>
      </c>
      <c r="AM801" s="10" t="s">
        <v>44</v>
      </c>
      <c r="AN801" s="9">
        <v>568</v>
      </c>
      <c r="AO801" s="8" t="s">
        <v>1551</v>
      </c>
      <c r="AP801" s="8">
        <v>1000</v>
      </c>
      <c r="AQ801" s="8">
        <v>38</v>
      </c>
      <c r="AR801" s="8">
        <v>33</v>
      </c>
      <c r="AS801" s="8">
        <v>36.6</v>
      </c>
      <c r="AT801" s="8">
        <v>47</v>
      </c>
      <c r="AU801" s="8">
        <v>16.100000000000001</v>
      </c>
      <c r="AV801" s="8">
        <v>41</v>
      </c>
      <c r="AW801" s="8">
        <v>28</v>
      </c>
      <c r="AX801" s="8">
        <v>60</v>
      </c>
      <c r="AY801" s="8">
        <v>60</v>
      </c>
      <c r="AZ801" s="8" t="s">
        <v>32</v>
      </c>
      <c r="BA801" s="7">
        <v>1.9</v>
      </c>
      <c r="BB801" s="9"/>
      <c r="BC801" s="8" t="s">
        <v>1550</v>
      </c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7"/>
    </row>
    <row r="802" spans="1:68" ht="14.25" customHeight="1">
      <c r="A802" s="12">
        <v>145</v>
      </c>
      <c r="B802" s="14">
        <v>353</v>
      </c>
      <c r="C802" s="13" t="s">
        <v>30</v>
      </c>
      <c r="D802" s="13" t="s">
        <v>86</v>
      </c>
      <c r="E802" s="13" t="s">
        <v>1547</v>
      </c>
      <c r="F802" s="11">
        <v>-19.399999999999999</v>
      </c>
      <c r="G802" s="11">
        <v>-15.8</v>
      </c>
      <c r="H802" s="11">
        <v>-9.3000000000000007</v>
      </c>
      <c r="I802" s="11">
        <v>-1.5</v>
      </c>
      <c r="J802" s="11">
        <v>3.2</v>
      </c>
      <c r="K802" s="11">
        <v>8.5</v>
      </c>
      <c r="L802" s="11">
        <v>13.2</v>
      </c>
      <c r="M802" s="11">
        <v>15.3</v>
      </c>
      <c r="N802" s="11">
        <v>12</v>
      </c>
      <c r="O802" s="11">
        <v>3.2</v>
      </c>
      <c r="P802" s="11">
        <v>-8.1</v>
      </c>
      <c r="Q802" s="11">
        <v>-16.2</v>
      </c>
      <c r="R802" s="10">
        <v>-1.2</v>
      </c>
      <c r="S802" s="12">
        <v>353</v>
      </c>
      <c r="T802" s="8" t="s">
        <v>1549</v>
      </c>
      <c r="U802" s="11">
        <v>-30</v>
      </c>
      <c r="V802" s="11">
        <v>-29</v>
      </c>
      <c r="W802" s="11">
        <v>-28</v>
      </c>
      <c r="X802" s="11">
        <v>-27</v>
      </c>
      <c r="Y802" s="11">
        <v>-24</v>
      </c>
      <c r="Z802" s="11">
        <v>-39</v>
      </c>
      <c r="AA802" s="11">
        <v>7.8</v>
      </c>
      <c r="AB802" s="11">
        <v>183</v>
      </c>
      <c r="AC802" s="11">
        <v>-11.4</v>
      </c>
      <c r="AD802" s="11">
        <v>256</v>
      </c>
      <c r="AE802" s="11">
        <v>-6.9</v>
      </c>
      <c r="AF802" s="11">
        <v>276</v>
      </c>
      <c r="AG802" s="11">
        <v>-5.8</v>
      </c>
      <c r="AH802" s="11">
        <v>68</v>
      </c>
      <c r="AI802" s="11">
        <v>61</v>
      </c>
      <c r="AJ802" s="11">
        <v>131</v>
      </c>
      <c r="AK802" s="11" t="s">
        <v>75</v>
      </c>
      <c r="AL802" s="11" t="s">
        <v>44</v>
      </c>
      <c r="AM802" s="10" t="s">
        <v>44</v>
      </c>
      <c r="AN802" s="9">
        <v>353</v>
      </c>
      <c r="AO802" s="8" t="s">
        <v>1548</v>
      </c>
      <c r="AP802" s="8">
        <v>1005</v>
      </c>
      <c r="AQ802" s="8">
        <v>17.100000000000001</v>
      </c>
      <c r="AR802" s="8">
        <v>21.5</v>
      </c>
      <c r="AS802" s="8">
        <v>19.5</v>
      </c>
      <c r="AT802" s="8">
        <v>30</v>
      </c>
      <c r="AU802" s="8">
        <v>7.5</v>
      </c>
      <c r="AV802" s="8">
        <v>89</v>
      </c>
      <c r="AW802" s="8">
        <v>79</v>
      </c>
      <c r="AX802" s="8">
        <v>608</v>
      </c>
      <c r="AY802" s="8">
        <v>90</v>
      </c>
      <c r="AZ802" s="8" t="s">
        <v>63</v>
      </c>
      <c r="BA802" s="7" t="s">
        <v>46</v>
      </c>
      <c r="BB802" s="9">
        <v>318</v>
      </c>
      <c r="BC802" s="8" t="s">
        <v>1547</v>
      </c>
      <c r="BD802" s="8">
        <v>1</v>
      </c>
      <c r="BE802" s="8">
        <v>1.3</v>
      </c>
      <c r="BF802" s="8">
        <v>2.2999999999999998</v>
      </c>
      <c r="BG802" s="8">
        <v>4.2</v>
      </c>
      <c r="BH802" s="8">
        <v>6.4</v>
      </c>
      <c r="BI802" s="8">
        <v>9.6999999999999993</v>
      </c>
      <c r="BJ802" s="8">
        <v>13.6</v>
      </c>
      <c r="BK802" s="8">
        <v>15.4</v>
      </c>
      <c r="BL802" s="8">
        <v>11.4</v>
      </c>
      <c r="BM802" s="8">
        <v>5.7</v>
      </c>
      <c r="BN802" s="8">
        <v>2.6</v>
      </c>
      <c r="BO802" s="8">
        <v>1.5</v>
      </c>
      <c r="BP802" s="7">
        <v>6.3</v>
      </c>
    </row>
    <row r="803" spans="1:68" ht="14.25" customHeight="1">
      <c r="A803" s="12">
        <v>146</v>
      </c>
      <c r="B803" s="14">
        <v>325</v>
      </c>
      <c r="C803" s="13" t="s">
        <v>30</v>
      </c>
      <c r="D803" s="13" t="s">
        <v>259</v>
      </c>
      <c r="E803" s="13" t="s">
        <v>1544</v>
      </c>
      <c r="F803" s="11">
        <v>-19.2</v>
      </c>
      <c r="G803" s="11">
        <v>-16.899999999999999</v>
      </c>
      <c r="H803" s="11">
        <v>-9.4</v>
      </c>
      <c r="I803" s="11">
        <v>0.7</v>
      </c>
      <c r="J803" s="11">
        <v>7.7</v>
      </c>
      <c r="K803" s="11">
        <v>14.7</v>
      </c>
      <c r="L803" s="11">
        <v>17.600000000000001</v>
      </c>
      <c r="M803" s="11">
        <v>14.5</v>
      </c>
      <c r="N803" s="11">
        <v>8.9</v>
      </c>
      <c r="O803" s="11">
        <v>0.2</v>
      </c>
      <c r="P803" s="11">
        <v>-9.8000000000000007</v>
      </c>
      <c r="Q803" s="11">
        <v>-17</v>
      </c>
      <c r="R803" s="10">
        <v>-0.7</v>
      </c>
      <c r="S803" s="12">
        <v>325</v>
      </c>
      <c r="T803" s="8" t="s">
        <v>1546</v>
      </c>
      <c r="U803" s="11">
        <v>-47</v>
      </c>
      <c r="V803" s="11">
        <v>-45</v>
      </c>
      <c r="W803" s="11">
        <v>-44</v>
      </c>
      <c r="X803" s="11">
        <v>-40</v>
      </c>
      <c r="Y803" s="11">
        <v>-24</v>
      </c>
      <c r="Z803" s="11">
        <v>-51</v>
      </c>
      <c r="AA803" s="11">
        <v>8.4</v>
      </c>
      <c r="AB803" s="11">
        <v>179</v>
      </c>
      <c r="AC803" s="11">
        <v>-12.1</v>
      </c>
      <c r="AD803" s="11">
        <v>241</v>
      </c>
      <c r="AE803" s="11">
        <v>-8</v>
      </c>
      <c r="AF803" s="11">
        <v>258</v>
      </c>
      <c r="AG803" s="11">
        <v>-6.8</v>
      </c>
      <c r="AH803" s="11">
        <v>81</v>
      </c>
      <c r="AI803" s="11">
        <v>80</v>
      </c>
      <c r="AJ803" s="11">
        <v>115</v>
      </c>
      <c r="AK803" s="11" t="s">
        <v>34</v>
      </c>
      <c r="AL803" s="11">
        <v>4.5999999999999996</v>
      </c>
      <c r="AM803" s="10" t="s">
        <v>44</v>
      </c>
      <c r="AN803" s="9">
        <v>325</v>
      </c>
      <c r="AO803" s="8" t="s">
        <v>1545</v>
      </c>
      <c r="AP803" s="8">
        <v>1000</v>
      </c>
      <c r="AQ803" s="8">
        <v>20.2</v>
      </c>
      <c r="AR803" s="8">
        <v>24.5</v>
      </c>
      <c r="AS803" s="8">
        <v>22.6</v>
      </c>
      <c r="AT803" s="8">
        <v>35</v>
      </c>
      <c r="AU803" s="8">
        <v>9.6</v>
      </c>
      <c r="AV803" s="8">
        <v>72</v>
      </c>
      <c r="AW803" s="8">
        <v>59</v>
      </c>
      <c r="AX803" s="8">
        <v>386</v>
      </c>
      <c r="AY803" s="8">
        <v>64</v>
      </c>
      <c r="AZ803" s="8" t="s">
        <v>32</v>
      </c>
      <c r="BA803" s="7">
        <v>0</v>
      </c>
      <c r="BB803" s="9">
        <v>293</v>
      </c>
      <c r="BC803" s="8" t="s">
        <v>1544</v>
      </c>
      <c r="BD803" s="8">
        <v>1.4</v>
      </c>
      <c r="BE803" s="8">
        <v>1.5</v>
      </c>
      <c r="BF803" s="8">
        <v>2.5</v>
      </c>
      <c r="BG803" s="8">
        <v>4.5999999999999996</v>
      </c>
      <c r="BH803" s="8">
        <v>6.8</v>
      </c>
      <c r="BI803" s="8">
        <v>11</v>
      </c>
      <c r="BJ803" s="8">
        <v>14.5</v>
      </c>
      <c r="BK803" s="8">
        <v>12.8</v>
      </c>
      <c r="BL803" s="8">
        <v>9.1</v>
      </c>
      <c r="BM803" s="8">
        <v>5.2</v>
      </c>
      <c r="BN803" s="8">
        <v>2.9</v>
      </c>
      <c r="BO803" s="8">
        <v>1.8</v>
      </c>
      <c r="BP803" s="7">
        <v>6.2</v>
      </c>
    </row>
    <row r="804" spans="1:68" ht="14.25" customHeight="1">
      <c r="A804" s="12">
        <v>147</v>
      </c>
      <c r="B804" s="14">
        <v>598</v>
      </c>
      <c r="C804" s="13" t="s">
        <v>117</v>
      </c>
      <c r="D804" s="13" t="s">
        <v>116</v>
      </c>
      <c r="E804" s="13" t="s">
        <v>1542</v>
      </c>
      <c r="F804" s="11">
        <v>3.6</v>
      </c>
      <c r="G804" s="11">
        <v>6.1</v>
      </c>
      <c r="H804" s="11">
        <v>10.7</v>
      </c>
      <c r="I804" s="11">
        <v>17.100000000000001</v>
      </c>
      <c r="J804" s="11">
        <v>22.3</v>
      </c>
      <c r="K804" s="11">
        <v>27</v>
      </c>
      <c r="L804" s="11">
        <v>28.4</v>
      </c>
      <c r="M804" s="11">
        <v>26.1</v>
      </c>
      <c r="N804" s="11">
        <v>21.3</v>
      </c>
      <c r="O804" s="11">
        <v>15.5</v>
      </c>
      <c r="P804" s="11">
        <v>9.9</v>
      </c>
      <c r="Q804" s="11">
        <v>5.6</v>
      </c>
      <c r="R804" s="10">
        <v>16.2</v>
      </c>
      <c r="S804" s="12">
        <v>587</v>
      </c>
      <c r="T804" s="8" t="s">
        <v>1542</v>
      </c>
      <c r="U804" s="11">
        <v>-14</v>
      </c>
      <c r="V804" s="11">
        <v>-12</v>
      </c>
      <c r="W804" s="11">
        <v>-11</v>
      </c>
      <c r="X804" s="11" t="s">
        <v>64</v>
      </c>
      <c r="Y804" s="11">
        <v>0</v>
      </c>
      <c r="Z804" s="11">
        <v>-21</v>
      </c>
      <c r="AA804" s="11">
        <v>9.3000000000000007</v>
      </c>
      <c r="AB804" s="11">
        <v>0</v>
      </c>
      <c r="AC804" s="11" t="s">
        <v>50</v>
      </c>
      <c r="AD804" s="11">
        <v>89</v>
      </c>
      <c r="AE804" s="11">
        <v>5.0999999999999996</v>
      </c>
      <c r="AF804" s="11" t="s">
        <v>114</v>
      </c>
      <c r="AG804" s="11" t="s">
        <v>44</v>
      </c>
      <c r="AH804" s="11" t="s">
        <v>49</v>
      </c>
      <c r="AI804" s="11" t="s">
        <v>49</v>
      </c>
      <c r="AJ804" s="11" t="s">
        <v>84</v>
      </c>
      <c r="AK804" s="11" t="s">
        <v>44</v>
      </c>
      <c r="AL804" s="11">
        <v>2.4</v>
      </c>
      <c r="AM804" s="10" t="s">
        <v>44</v>
      </c>
      <c r="AN804" s="9">
        <v>588</v>
      </c>
      <c r="AO804" s="8" t="s">
        <v>1543</v>
      </c>
      <c r="AP804" s="8">
        <v>950</v>
      </c>
      <c r="AQ804" s="8">
        <v>33.700000000000003</v>
      </c>
      <c r="AR804" s="8">
        <v>37.4</v>
      </c>
      <c r="AS804" s="8">
        <v>36.9</v>
      </c>
      <c r="AT804" s="8">
        <v>45</v>
      </c>
      <c r="AU804" s="8">
        <v>16.7</v>
      </c>
      <c r="AV804" s="8" t="s">
        <v>45</v>
      </c>
      <c r="AW804" s="8" t="s">
        <v>44</v>
      </c>
      <c r="AX804" s="8" t="s">
        <v>44</v>
      </c>
      <c r="AY804" s="8" t="s">
        <v>64</v>
      </c>
      <c r="AZ804" s="8" t="s">
        <v>114</v>
      </c>
      <c r="BA804" s="7">
        <v>0</v>
      </c>
      <c r="BB804" s="9"/>
      <c r="BC804" s="8" t="s">
        <v>1542</v>
      </c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7"/>
    </row>
    <row r="805" spans="1:68" ht="14.25" customHeight="1">
      <c r="A805" s="12">
        <v>148</v>
      </c>
      <c r="B805" s="14">
        <v>78</v>
      </c>
      <c r="C805" s="13" t="s">
        <v>30</v>
      </c>
      <c r="D805" s="13" t="s">
        <v>68</v>
      </c>
      <c r="E805" s="13" t="s">
        <v>1539</v>
      </c>
      <c r="F805" s="11">
        <v>1.5</v>
      </c>
      <c r="G805" s="11">
        <v>1.7</v>
      </c>
      <c r="H805" s="11">
        <v>4.0999999999999996</v>
      </c>
      <c r="I805" s="11">
        <v>9.4</v>
      </c>
      <c r="J805" s="11">
        <v>16.100000000000001</v>
      </c>
      <c r="K805" s="11">
        <v>21.4</v>
      </c>
      <c r="L805" s="11">
        <v>24.7</v>
      </c>
      <c r="M805" s="11">
        <v>24.5</v>
      </c>
      <c r="N805" s="11">
        <v>20.100000000000001</v>
      </c>
      <c r="O805" s="11">
        <v>14.4</v>
      </c>
      <c r="P805" s="11">
        <v>8.6999999999999993</v>
      </c>
      <c r="Q805" s="11">
        <v>4.3</v>
      </c>
      <c r="R805" s="10">
        <v>12.5</v>
      </c>
      <c r="S805" s="12">
        <v>78</v>
      </c>
      <c r="T805" s="8" t="s">
        <v>1541</v>
      </c>
      <c r="U805" s="11">
        <v>-16</v>
      </c>
      <c r="V805" s="11">
        <v>-13</v>
      </c>
      <c r="W805" s="11">
        <v>-11</v>
      </c>
      <c r="X805" s="11">
        <v>-9</v>
      </c>
      <c r="Y805" s="11">
        <v>-3</v>
      </c>
      <c r="Z805" s="11">
        <v>-19</v>
      </c>
      <c r="AA805" s="11">
        <v>5.2</v>
      </c>
      <c r="AB805" s="11">
        <v>0</v>
      </c>
      <c r="AC805" s="11" t="s">
        <v>50</v>
      </c>
      <c r="AD805" s="11">
        <v>138</v>
      </c>
      <c r="AE805" s="11">
        <v>3.7</v>
      </c>
      <c r="AF805" s="11">
        <v>161</v>
      </c>
      <c r="AG805" s="11">
        <v>4.5</v>
      </c>
      <c r="AH805" s="11">
        <v>84</v>
      </c>
      <c r="AI805" s="11">
        <v>82</v>
      </c>
      <c r="AJ805" s="11">
        <v>179</v>
      </c>
      <c r="AK805" s="11" t="s">
        <v>75</v>
      </c>
      <c r="AL805" s="11">
        <v>5.2</v>
      </c>
      <c r="AM805" s="10">
        <v>3.1</v>
      </c>
      <c r="AN805" s="9">
        <v>78</v>
      </c>
      <c r="AO805" s="8" t="s">
        <v>1540</v>
      </c>
      <c r="AP805" s="8">
        <v>1015</v>
      </c>
      <c r="AQ805" s="8">
        <v>25.8</v>
      </c>
      <c r="AR805" s="8">
        <v>29.8</v>
      </c>
      <c r="AS805" s="8">
        <v>28.2</v>
      </c>
      <c r="AT805" s="8">
        <v>38</v>
      </c>
      <c r="AU805" s="8">
        <v>7.3</v>
      </c>
      <c r="AV805" s="8">
        <v>67</v>
      </c>
      <c r="AW805" s="8">
        <v>65</v>
      </c>
      <c r="AX805" s="8">
        <v>214</v>
      </c>
      <c r="AY805" s="8">
        <v>113</v>
      </c>
      <c r="AZ805" s="8" t="s">
        <v>54</v>
      </c>
      <c r="BA805" s="7">
        <v>0</v>
      </c>
      <c r="BB805" s="9">
        <v>63</v>
      </c>
      <c r="BC805" s="8" t="s">
        <v>1539</v>
      </c>
      <c r="BD805" s="8">
        <v>5.9</v>
      </c>
      <c r="BE805" s="8">
        <v>6</v>
      </c>
      <c r="BF805" s="8">
        <v>6.9</v>
      </c>
      <c r="BG805" s="8">
        <v>9.4</v>
      </c>
      <c r="BH805" s="8">
        <v>13.6</v>
      </c>
      <c r="BI805" s="8">
        <v>17.7</v>
      </c>
      <c r="BJ805" s="8">
        <v>21</v>
      </c>
      <c r="BK805" s="8">
        <v>21.1</v>
      </c>
      <c r="BL805" s="8">
        <v>17.399999999999999</v>
      </c>
      <c r="BM805" s="8">
        <v>12.9</v>
      </c>
      <c r="BN805" s="8">
        <v>9.6</v>
      </c>
      <c r="BO805" s="8">
        <v>7.2</v>
      </c>
      <c r="BP805" s="7">
        <v>12.4</v>
      </c>
    </row>
    <row r="806" spans="1:68" ht="14.25" customHeight="1">
      <c r="A806" s="12">
        <v>149</v>
      </c>
      <c r="B806" s="14">
        <v>410</v>
      </c>
      <c r="C806" s="13" t="s">
        <v>30</v>
      </c>
      <c r="D806" s="13" t="s">
        <v>57</v>
      </c>
      <c r="E806" s="13" t="s">
        <v>1537</v>
      </c>
      <c r="F806" s="11">
        <v>-39.4</v>
      </c>
      <c r="G806" s="11">
        <v>-35.9</v>
      </c>
      <c r="H806" s="11">
        <v>-27.2</v>
      </c>
      <c r="I806" s="11">
        <v>-14.8</v>
      </c>
      <c r="J806" s="11">
        <v>-3</v>
      </c>
      <c r="K806" s="11">
        <v>8.8000000000000007</v>
      </c>
      <c r="L806" s="11">
        <v>13.7</v>
      </c>
      <c r="M806" s="11">
        <v>9.3000000000000007</v>
      </c>
      <c r="N806" s="11">
        <v>1.6</v>
      </c>
      <c r="O806" s="11">
        <v>-12.7</v>
      </c>
      <c r="P806" s="11">
        <v>-31</v>
      </c>
      <c r="Q806" s="11">
        <v>-35.4</v>
      </c>
      <c r="R806" s="10">
        <v>-13.9</v>
      </c>
      <c r="S806" s="12">
        <v>410</v>
      </c>
      <c r="T806" s="8" t="s">
        <v>1537</v>
      </c>
      <c r="U806" s="11">
        <v>-62</v>
      </c>
      <c r="V806" s="11">
        <v>-59</v>
      </c>
      <c r="W806" s="11">
        <v>-60</v>
      </c>
      <c r="X806" s="11">
        <v>-56</v>
      </c>
      <c r="Y806" s="11">
        <v>-44</v>
      </c>
      <c r="Z806" s="11">
        <v>-64</v>
      </c>
      <c r="AA806" s="11">
        <v>9.4</v>
      </c>
      <c r="AB806" s="11">
        <v>247</v>
      </c>
      <c r="AC806" s="11">
        <v>-24.2</v>
      </c>
      <c r="AD806" s="11">
        <v>296</v>
      </c>
      <c r="AE806" s="11">
        <v>-19.5</v>
      </c>
      <c r="AF806" s="11">
        <v>316</v>
      </c>
      <c r="AG806" s="11">
        <v>-17.7</v>
      </c>
      <c r="AH806" s="11">
        <v>74</v>
      </c>
      <c r="AI806" s="11">
        <v>74</v>
      </c>
      <c r="AJ806" s="11">
        <v>53</v>
      </c>
      <c r="AK806" s="11" t="s">
        <v>27</v>
      </c>
      <c r="AL806" s="11" t="s">
        <v>44</v>
      </c>
      <c r="AM806" s="10">
        <v>2.2000000000000002</v>
      </c>
      <c r="AN806" s="9">
        <v>410</v>
      </c>
      <c r="AO806" s="8" t="s">
        <v>1538</v>
      </c>
      <c r="AP806" s="8">
        <v>1000</v>
      </c>
      <c r="AQ806" s="8">
        <v>17.3</v>
      </c>
      <c r="AR806" s="8">
        <v>21.7</v>
      </c>
      <c r="AS806" s="8">
        <v>19.7</v>
      </c>
      <c r="AT806" s="8">
        <v>35</v>
      </c>
      <c r="AU806" s="8">
        <v>12.1</v>
      </c>
      <c r="AV806" s="8">
        <v>67</v>
      </c>
      <c r="AW806" s="8">
        <v>56</v>
      </c>
      <c r="AX806" s="8">
        <v>227</v>
      </c>
      <c r="AY806" s="8">
        <v>48</v>
      </c>
      <c r="AZ806" s="8" t="s">
        <v>54</v>
      </c>
      <c r="BA806" s="7" t="s">
        <v>46</v>
      </c>
      <c r="BB806" s="9">
        <v>374</v>
      </c>
      <c r="BC806" s="8" t="s">
        <v>1537</v>
      </c>
      <c r="BD806" s="8">
        <v>0.3</v>
      </c>
      <c r="BE806" s="8">
        <v>0.3</v>
      </c>
      <c r="BF806" s="8">
        <v>0.7</v>
      </c>
      <c r="BG806" s="8">
        <v>1.6</v>
      </c>
      <c r="BH806" s="8">
        <v>3.5</v>
      </c>
      <c r="BI806" s="8">
        <v>7.4</v>
      </c>
      <c r="BJ806" s="8">
        <v>10.199999999999999</v>
      </c>
      <c r="BK806" s="8">
        <v>8.6999999999999993</v>
      </c>
      <c r="BL806" s="8">
        <v>5.7</v>
      </c>
      <c r="BM806" s="8">
        <v>2.4</v>
      </c>
      <c r="BN806" s="8">
        <v>0.6</v>
      </c>
      <c r="BO806" s="8">
        <v>0.4</v>
      </c>
      <c r="BP806" s="7">
        <v>3.5</v>
      </c>
    </row>
    <row r="807" spans="1:68" ht="14.25" customHeight="1">
      <c r="A807" s="12">
        <v>150</v>
      </c>
      <c r="B807" s="14">
        <v>516</v>
      </c>
      <c r="C807" s="13" t="s">
        <v>121</v>
      </c>
      <c r="D807" s="13" t="s">
        <v>339</v>
      </c>
      <c r="E807" s="13" t="s">
        <v>1535</v>
      </c>
      <c r="F807" s="11">
        <v>-13.4</v>
      </c>
      <c r="G807" s="11">
        <v>-12.9</v>
      </c>
      <c r="H807" s="11">
        <v>-6.4</v>
      </c>
      <c r="I807" s="11">
        <v>7.4</v>
      </c>
      <c r="J807" s="11">
        <v>15.9</v>
      </c>
      <c r="K807" s="11">
        <v>21.3</v>
      </c>
      <c r="L807" s="11">
        <v>23.7</v>
      </c>
      <c r="M807" s="11">
        <v>21.8</v>
      </c>
      <c r="N807" s="11">
        <v>14.8</v>
      </c>
      <c r="O807" s="11">
        <v>5.6</v>
      </c>
      <c r="P807" s="11">
        <v>-2.5</v>
      </c>
      <c r="Q807" s="11">
        <v>-9</v>
      </c>
      <c r="R807" s="10">
        <v>5.5</v>
      </c>
      <c r="S807" s="12">
        <v>516</v>
      </c>
      <c r="T807" s="8" t="s">
        <v>1535</v>
      </c>
      <c r="U807" s="11">
        <v>-39</v>
      </c>
      <c r="V807" s="11">
        <v>-36</v>
      </c>
      <c r="W807" s="11">
        <v>-33</v>
      </c>
      <c r="X807" s="11">
        <v>-30</v>
      </c>
      <c r="Y807" s="11" t="s">
        <v>49</v>
      </c>
      <c r="Z807" s="11">
        <v>-42</v>
      </c>
      <c r="AA807" s="11">
        <v>8.8000000000000007</v>
      </c>
      <c r="AB807" s="11">
        <v>145</v>
      </c>
      <c r="AC807" s="11">
        <v>-9.1999999999999993</v>
      </c>
      <c r="AD807" s="11">
        <v>192</v>
      </c>
      <c r="AE807" s="11">
        <v>-5.9</v>
      </c>
      <c r="AF807" s="11">
        <v>205</v>
      </c>
      <c r="AG807" s="11">
        <v>-4.9000000000000004</v>
      </c>
      <c r="AH807" s="11">
        <v>82</v>
      </c>
      <c r="AI807" s="11" t="s">
        <v>49</v>
      </c>
      <c r="AJ807" s="11">
        <v>94</v>
      </c>
      <c r="AK807" s="11" t="s">
        <v>27</v>
      </c>
      <c r="AL807" s="11">
        <v>5.5</v>
      </c>
      <c r="AM807" s="10">
        <v>5.0999999999999996</v>
      </c>
      <c r="AN807" s="9">
        <v>516</v>
      </c>
      <c r="AO807" s="8" t="s">
        <v>1536</v>
      </c>
      <c r="AP807" s="8" t="s">
        <v>64</v>
      </c>
      <c r="AQ807" s="8" t="s">
        <v>45</v>
      </c>
      <c r="AR807" s="8" t="s">
        <v>44</v>
      </c>
      <c r="AS807" s="8">
        <v>30.8</v>
      </c>
      <c r="AT807" s="8">
        <v>44</v>
      </c>
      <c r="AU807" s="8">
        <v>15</v>
      </c>
      <c r="AV807" s="8">
        <v>47</v>
      </c>
      <c r="AW807" s="8" t="s">
        <v>44</v>
      </c>
      <c r="AX807" s="8">
        <v>172</v>
      </c>
      <c r="AY807" s="8" t="s">
        <v>64</v>
      </c>
      <c r="AZ807" s="8" t="s">
        <v>54</v>
      </c>
      <c r="BA807" s="7">
        <v>4</v>
      </c>
      <c r="BB807" s="9"/>
      <c r="BC807" s="8" t="s">
        <v>1535</v>
      </c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7"/>
    </row>
    <row r="808" spans="1:68" ht="14.25" customHeight="1">
      <c r="A808" s="12">
        <v>151</v>
      </c>
      <c r="B808" s="14">
        <v>512</v>
      </c>
      <c r="C808" s="13" t="s">
        <v>121</v>
      </c>
      <c r="D808" s="13" t="s">
        <v>268</v>
      </c>
      <c r="E808" s="13" t="s">
        <v>1533</v>
      </c>
      <c r="F808" s="11">
        <v>-5</v>
      </c>
      <c r="G808" s="11">
        <v>-3.3</v>
      </c>
      <c r="H808" s="11">
        <v>3.3</v>
      </c>
      <c r="I808" s="11">
        <v>11.3</v>
      </c>
      <c r="J808" s="11">
        <v>16.8</v>
      </c>
      <c r="K808" s="11">
        <v>22.1</v>
      </c>
      <c r="L808" s="11">
        <v>24.9</v>
      </c>
      <c r="M808" s="11">
        <v>22.8</v>
      </c>
      <c r="N808" s="11">
        <v>17.100000000000001</v>
      </c>
      <c r="O808" s="11">
        <v>9.9</v>
      </c>
      <c r="P808" s="11">
        <v>2</v>
      </c>
      <c r="Q808" s="11">
        <v>-3.4</v>
      </c>
      <c r="R808" s="10">
        <v>9.9</v>
      </c>
      <c r="S808" s="12">
        <v>512</v>
      </c>
      <c r="T808" s="8" t="s">
        <v>1533</v>
      </c>
      <c r="U808" s="11">
        <v>-30</v>
      </c>
      <c r="V808" s="11">
        <v>-28</v>
      </c>
      <c r="W808" s="11">
        <v>-27</v>
      </c>
      <c r="X808" s="11">
        <v>-23</v>
      </c>
      <c r="Y808" s="11" t="s">
        <v>49</v>
      </c>
      <c r="Z808" s="11">
        <v>-41</v>
      </c>
      <c r="AA808" s="11">
        <v>10.4</v>
      </c>
      <c r="AB808" s="11">
        <v>100</v>
      </c>
      <c r="AC808" s="11">
        <v>-3.6</v>
      </c>
      <c r="AD808" s="11">
        <v>162</v>
      </c>
      <c r="AE808" s="11">
        <v>-0.7</v>
      </c>
      <c r="AF808" s="11">
        <v>186</v>
      </c>
      <c r="AG808" s="11">
        <v>0.6</v>
      </c>
      <c r="AH808" s="11">
        <v>76</v>
      </c>
      <c r="AI808" s="11" t="s">
        <v>49</v>
      </c>
      <c r="AJ808" s="11">
        <v>162</v>
      </c>
      <c r="AK808" s="11" t="s">
        <v>34</v>
      </c>
      <c r="AL808" s="11">
        <v>4.5</v>
      </c>
      <c r="AM808" s="10">
        <v>3</v>
      </c>
      <c r="AN808" s="9">
        <v>512</v>
      </c>
      <c r="AO808" s="8" t="s">
        <v>1534</v>
      </c>
      <c r="AP808" s="8" t="s">
        <v>64</v>
      </c>
      <c r="AQ808" s="8" t="s">
        <v>45</v>
      </c>
      <c r="AR808" s="8" t="s">
        <v>44</v>
      </c>
      <c r="AS808" s="8">
        <v>31.9</v>
      </c>
      <c r="AT808" s="8">
        <v>44</v>
      </c>
      <c r="AU808" s="8">
        <v>15.8</v>
      </c>
      <c r="AV808" s="8">
        <v>40</v>
      </c>
      <c r="AW808" s="8" t="s">
        <v>44</v>
      </c>
      <c r="AX808" s="8">
        <v>169</v>
      </c>
      <c r="AY808" s="8" t="s">
        <v>64</v>
      </c>
      <c r="AZ808" s="8" t="s">
        <v>32</v>
      </c>
      <c r="BA808" s="7">
        <v>2.5</v>
      </c>
      <c r="BB808" s="9"/>
      <c r="BC808" s="8" t="s">
        <v>1533</v>
      </c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7"/>
    </row>
    <row r="809" spans="1:68" ht="14.25" customHeight="1">
      <c r="A809" s="12">
        <v>152</v>
      </c>
      <c r="B809" s="14">
        <v>354</v>
      </c>
      <c r="C809" s="13" t="s">
        <v>30</v>
      </c>
      <c r="D809" s="13" t="s">
        <v>86</v>
      </c>
      <c r="E809" s="13" t="s">
        <v>1530</v>
      </c>
      <c r="F809" s="11">
        <v>-20.2</v>
      </c>
      <c r="G809" s="11">
        <v>-17.2</v>
      </c>
      <c r="H809" s="11">
        <v>-11.4</v>
      </c>
      <c r="I809" s="11">
        <v>-2.9</v>
      </c>
      <c r="J809" s="11">
        <v>1.9</v>
      </c>
      <c r="K809" s="11">
        <v>9.6999999999999993</v>
      </c>
      <c r="L809" s="11">
        <v>15.1</v>
      </c>
      <c r="M809" s="11">
        <v>16.2</v>
      </c>
      <c r="N809" s="11">
        <v>12</v>
      </c>
      <c r="O809" s="11">
        <v>3.2</v>
      </c>
      <c r="P809" s="11">
        <v>-7.7</v>
      </c>
      <c r="Q809" s="11">
        <v>-16.5</v>
      </c>
      <c r="R809" s="10">
        <v>-1.5</v>
      </c>
      <c r="S809" s="12">
        <v>354</v>
      </c>
      <c r="T809" s="8" t="s">
        <v>1532</v>
      </c>
      <c r="U809" s="11">
        <v>-36</v>
      </c>
      <c r="V809" s="11">
        <v>-32</v>
      </c>
      <c r="W809" s="11">
        <v>-33</v>
      </c>
      <c r="X809" s="11">
        <v>-30</v>
      </c>
      <c r="Y809" s="11">
        <v>-25</v>
      </c>
      <c r="Z809" s="11">
        <v>-42</v>
      </c>
      <c r="AA809" s="11">
        <v>7.7</v>
      </c>
      <c r="AB809" s="11">
        <v>191</v>
      </c>
      <c r="AC809" s="11">
        <v>-11.7</v>
      </c>
      <c r="AD809" s="11">
        <v>252</v>
      </c>
      <c r="AE809" s="11">
        <v>-7.9</v>
      </c>
      <c r="AF809" s="11">
        <v>268</v>
      </c>
      <c r="AG809" s="11">
        <v>-7</v>
      </c>
      <c r="AH809" s="11">
        <v>70</v>
      </c>
      <c r="AI809" s="11">
        <v>65</v>
      </c>
      <c r="AJ809" s="11" t="s">
        <v>84</v>
      </c>
      <c r="AK809" s="11" t="s">
        <v>44</v>
      </c>
      <c r="AL809" s="11" t="s">
        <v>44</v>
      </c>
      <c r="AM809" s="10" t="s">
        <v>44</v>
      </c>
      <c r="AN809" s="9">
        <v>354</v>
      </c>
      <c r="AO809" s="8" t="s">
        <v>1531</v>
      </c>
      <c r="AP809" s="8">
        <v>1005</v>
      </c>
      <c r="AQ809" s="8">
        <v>16.8</v>
      </c>
      <c r="AR809" s="8">
        <v>21.2</v>
      </c>
      <c r="AS809" s="8">
        <v>19.2</v>
      </c>
      <c r="AT809" s="8">
        <v>32</v>
      </c>
      <c r="AU809" s="8">
        <v>6.1</v>
      </c>
      <c r="AV809" s="8">
        <v>85</v>
      </c>
      <c r="AW809" s="8">
        <v>80</v>
      </c>
      <c r="AX809" s="8">
        <v>427</v>
      </c>
      <c r="AY809" s="8" t="s">
        <v>64</v>
      </c>
      <c r="AZ809" s="8" t="s">
        <v>114</v>
      </c>
      <c r="BA809" s="7" t="s">
        <v>46</v>
      </c>
      <c r="BB809" s="9">
        <v>319</v>
      </c>
      <c r="BC809" s="8" t="s">
        <v>1530</v>
      </c>
      <c r="BD809" s="8">
        <v>1</v>
      </c>
      <c r="BE809" s="8">
        <v>1.2</v>
      </c>
      <c r="BF809" s="8">
        <v>2</v>
      </c>
      <c r="BG809" s="8">
        <v>3.9</v>
      </c>
      <c r="BH809" s="8">
        <v>5.9</v>
      </c>
      <c r="BI809" s="8">
        <v>10.4</v>
      </c>
      <c r="BJ809" s="8">
        <v>15</v>
      </c>
      <c r="BK809" s="8">
        <v>15.4</v>
      </c>
      <c r="BL809" s="8">
        <v>11.3</v>
      </c>
      <c r="BM809" s="8">
        <v>5.6</v>
      </c>
      <c r="BN809" s="8">
        <v>2.5</v>
      </c>
      <c r="BO809" s="8">
        <v>1.4</v>
      </c>
      <c r="BP809" s="7">
        <v>6.3</v>
      </c>
    </row>
    <row r="810" spans="1:68" ht="14.25" customHeight="1">
      <c r="A810" s="12">
        <v>153</v>
      </c>
      <c r="B810" s="14">
        <v>411</v>
      </c>
      <c r="C810" s="13" t="s">
        <v>30</v>
      </c>
      <c r="D810" s="13" t="s">
        <v>57</v>
      </c>
      <c r="E810" s="13" t="s">
        <v>1528</v>
      </c>
      <c r="F810" s="11">
        <v>-38.6</v>
      </c>
      <c r="G810" s="11">
        <v>-34.700000000000003</v>
      </c>
      <c r="H810" s="11">
        <v>-23.7</v>
      </c>
      <c r="I810" s="11">
        <v>-12.4</v>
      </c>
      <c r="J810" s="11">
        <v>-0.8</v>
      </c>
      <c r="K810" s="11">
        <v>10.7</v>
      </c>
      <c r="L810" s="11">
        <v>14.7</v>
      </c>
      <c r="M810" s="11">
        <v>11.1</v>
      </c>
      <c r="N810" s="11">
        <v>3.1</v>
      </c>
      <c r="O810" s="11">
        <v>-11</v>
      </c>
      <c r="P810" s="11">
        <v>-29.6</v>
      </c>
      <c r="Q810" s="11">
        <v>-36.1</v>
      </c>
      <c r="R810" s="10">
        <v>-12.3</v>
      </c>
      <c r="S810" s="12">
        <v>411</v>
      </c>
      <c r="T810" s="8" t="s">
        <v>1528</v>
      </c>
      <c r="U810" s="11">
        <v>-58</v>
      </c>
      <c r="V810" s="11">
        <v>-55</v>
      </c>
      <c r="W810" s="11">
        <v>-54</v>
      </c>
      <c r="X810" s="11">
        <v>-52</v>
      </c>
      <c r="Y810" s="11">
        <v>-44</v>
      </c>
      <c r="Z810" s="11">
        <v>-60</v>
      </c>
      <c r="AA810" s="11">
        <v>7.2</v>
      </c>
      <c r="AB810" s="11">
        <v>238</v>
      </c>
      <c r="AC810" s="11">
        <v>-23.5</v>
      </c>
      <c r="AD810" s="11">
        <v>284</v>
      </c>
      <c r="AE810" s="11">
        <v>-19</v>
      </c>
      <c r="AF810" s="11">
        <v>297</v>
      </c>
      <c r="AG810" s="11">
        <v>-17.8</v>
      </c>
      <c r="AH810" s="11">
        <v>73</v>
      </c>
      <c r="AI810" s="11">
        <v>73</v>
      </c>
      <c r="AJ810" s="11">
        <v>69</v>
      </c>
      <c r="AK810" s="11" t="s">
        <v>34</v>
      </c>
      <c r="AL810" s="11">
        <v>6.1</v>
      </c>
      <c r="AM810" s="10">
        <v>3.6</v>
      </c>
      <c r="AN810" s="9">
        <v>411</v>
      </c>
      <c r="AO810" s="8" t="s">
        <v>1529</v>
      </c>
      <c r="AP810" s="8">
        <v>1005</v>
      </c>
      <c r="AQ810" s="8">
        <v>17.899999999999999</v>
      </c>
      <c r="AR810" s="8">
        <v>22.2</v>
      </c>
      <c r="AS810" s="8">
        <v>20.3</v>
      </c>
      <c r="AT810" s="8">
        <v>37</v>
      </c>
      <c r="AU810" s="8">
        <v>10.3</v>
      </c>
      <c r="AV810" s="8">
        <v>66</v>
      </c>
      <c r="AW810" s="8">
        <v>57</v>
      </c>
      <c r="AX810" s="8">
        <v>268</v>
      </c>
      <c r="AY810" s="8">
        <v>40</v>
      </c>
      <c r="AZ810" s="8" t="s">
        <v>32</v>
      </c>
      <c r="BA810" s="7">
        <v>0</v>
      </c>
      <c r="BB810" s="9">
        <v>375</v>
      </c>
      <c r="BC810" s="8" t="s">
        <v>1528</v>
      </c>
      <c r="BD810" s="8">
        <v>0.2</v>
      </c>
      <c r="BE810" s="8">
        <v>0.3</v>
      </c>
      <c r="BF810" s="8">
        <v>0.8</v>
      </c>
      <c r="BG810" s="8">
        <v>1.8</v>
      </c>
      <c r="BH810" s="8">
        <v>4</v>
      </c>
      <c r="BI810" s="8">
        <v>8.1</v>
      </c>
      <c r="BJ810" s="8">
        <v>11.1</v>
      </c>
      <c r="BK810" s="8">
        <v>9.8000000000000007</v>
      </c>
      <c r="BL810" s="8">
        <v>6.1</v>
      </c>
      <c r="BM810" s="8">
        <v>2.6</v>
      </c>
      <c r="BN810" s="8">
        <v>0.6</v>
      </c>
      <c r="BO810" s="8">
        <v>0.3</v>
      </c>
      <c r="BP810" s="7">
        <v>3.8</v>
      </c>
    </row>
    <row r="811" spans="1:68" ht="14.25" customHeight="1">
      <c r="A811" s="12">
        <v>154</v>
      </c>
      <c r="B811" s="14">
        <v>585</v>
      </c>
      <c r="C811" s="13" t="s">
        <v>117</v>
      </c>
      <c r="D811" s="13" t="s">
        <v>1527</v>
      </c>
      <c r="E811" s="13" t="s">
        <v>1525</v>
      </c>
      <c r="F811" s="11">
        <v>-0.4</v>
      </c>
      <c r="G811" s="11">
        <v>2</v>
      </c>
      <c r="H811" s="11">
        <v>7.9</v>
      </c>
      <c r="I811" s="11">
        <v>15.1</v>
      </c>
      <c r="J811" s="11">
        <v>21.2</v>
      </c>
      <c r="K811" s="11">
        <v>26.4</v>
      </c>
      <c r="L811" s="11">
        <v>28.6</v>
      </c>
      <c r="M811" s="11">
        <v>26.6</v>
      </c>
      <c r="N811" s="11">
        <v>20.9</v>
      </c>
      <c r="O811" s="11">
        <v>13.7</v>
      </c>
      <c r="P811" s="11">
        <v>6.8</v>
      </c>
      <c r="Q811" s="11">
        <v>2.2000000000000002</v>
      </c>
      <c r="R811" s="10">
        <v>14.3</v>
      </c>
      <c r="S811" s="12">
        <v>574</v>
      </c>
      <c r="T811" s="8" t="s">
        <v>1525</v>
      </c>
      <c r="U811" s="11">
        <v>-22</v>
      </c>
      <c r="V811" s="11">
        <v>-19</v>
      </c>
      <c r="W811" s="11">
        <v>-19</v>
      </c>
      <c r="X811" s="11" t="s">
        <v>64</v>
      </c>
      <c r="Y811" s="11">
        <v>-4</v>
      </c>
      <c r="Z811" s="11">
        <v>-32</v>
      </c>
      <c r="AA811" s="11">
        <v>8.5</v>
      </c>
      <c r="AB811" s="11">
        <v>28</v>
      </c>
      <c r="AC811" s="11" t="s">
        <v>45</v>
      </c>
      <c r="AD811" s="11">
        <v>126</v>
      </c>
      <c r="AE811" s="11">
        <v>2.7</v>
      </c>
      <c r="AF811" s="11" t="s">
        <v>114</v>
      </c>
      <c r="AG811" s="11" t="s">
        <v>44</v>
      </c>
      <c r="AH811" s="11" t="s">
        <v>49</v>
      </c>
      <c r="AI811" s="11" t="s">
        <v>49</v>
      </c>
      <c r="AJ811" s="11" t="s">
        <v>84</v>
      </c>
      <c r="AK811" s="11" t="s">
        <v>44</v>
      </c>
      <c r="AL811" s="11">
        <v>5.5</v>
      </c>
      <c r="AM811" s="10" t="s">
        <v>44</v>
      </c>
      <c r="AN811" s="9">
        <v>575</v>
      </c>
      <c r="AO811" s="8" t="s">
        <v>1526</v>
      </c>
      <c r="AP811" s="8">
        <v>970</v>
      </c>
      <c r="AQ811" s="8">
        <v>33.6</v>
      </c>
      <c r="AR811" s="8">
        <v>37</v>
      </c>
      <c r="AS811" s="8">
        <v>35.799999999999997</v>
      </c>
      <c r="AT811" s="8">
        <v>45</v>
      </c>
      <c r="AU811" s="8">
        <v>15.1</v>
      </c>
      <c r="AV811" s="8" t="s">
        <v>45</v>
      </c>
      <c r="AW811" s="8" t="s">
        <v>44</v>
      </c>
      <c r="AX811" s="8" t="s">
        <v>44</v>
      </c>
      <c r="AY811" s="8">
        <v>69</v>
      </c>
      <c r="AZ811" s="8" t="s">
        <v>114</v>
      </c>
      <c r="BA811" s="7">
        <v>0</v>
      </c>
      <c r="BB811" s="9"/>
      <c r="BC811" s="8" t="s">
        <v>1525</v>
      </c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7"/>
    </row>
    <row r="812" spans="1:68" ht="14.25" customHeight="1">
      <c r="A812" s="12">
        <v>155</v>
      </c>
      <c r="B812" s="14">
        <v>412</v>
      </c>
      <c r="C812" s="13" t="s">
        <v>30</v>
      </c>
      <c r="D812" s="13" t="s">
        <v>57</v>
      </c>
      <c r="E812" s="13" t="s">
        <v>1523</v>
      </c>
      <c r="F812" s="11">
        <v>-34.700000000000003</v>
      </c>
      <c r="G812" s="11">
        <v>-31.4</v>
      </c>
      <c r="H812" s="11">
        <v>-19.100000000000001</v>
      </c>
      <c r="I812" s="11">
        <v>-4.4000000000000004</v>
      </c>
      <c r="J812" s="11">
        <v>6.1</v>
      </c>
      <c r="K812" s="11">
        <v>13.9</v>
      </c>
      <c r="L812" s="11">
        <v>17.5</v>
      </c>
      <c r="M812" s="11">
        <v>13.7</v>
      </c>
      <c r="N812" s="11">
        <v>5.6</v>
      </c>
      <c r="O812" s="11">
        <v>-5.4</v>
      </c>
      <c r="P812" s="11">
        <v>-22.9</v>
      </c>
      <c r="Q812" s="11">
        <v>-33.1</v>
      </c>
      <c r="R812" s="10">
        <v>-7.9</v>
      </c>
      <c r="S812" s="12">
        <v>412</v>
      </c>
      <c r="T812" s="8" t="s">
        <v>1523</v>
      </c>
      <c r="U812" s="11">
        <v>-56</v>
      </c>
      <c r="V812" s="11">
        <v>-54</v>
      </c>
      <c r="W812" s="11">
        <v>-54</v>
      </c>
      <c r="X812" s="11">
        <v>-51</v>
      </c>
      <c r="Y812" s="11">
        <v>-40</v>
      </c>
      <c r="Z812" s="11">
        <v>-59</v>
      </c>
      <c r="AA812" s="11">
        <v>12.5</v>
      </c>
      <c r="AB812" s="11">
        <v>209</v>
      </c>
      <c r="AC812" s="11">
        <v>-21.4</v>
      </c>
      <c r="AD812" s="11">
        <v>259</v>
      </c>
      <c r="AE812" s="11">
        <v>-16.5</v>
      </c>
      <c r="AF812" s="11">
        <v>274</v>
      </c>
      <c r="AG812" s="11">
        <v>-15.1</v>
      </c>
      <c r="AH812" s="11">
        <v>77</v>
      </c>
      <c r="AI812" s="11">
        <v>75</v>
      </c>
      <c r="AJ812" s="11">
        <v>85</v>
      </c>
      <c r="AK812" s="11" t="s">
        <v>44</v>
      </c>
      <c r="AL812" s="11" t="s">
        <v>44</v>
      </c>
      <c r="AM812" s="10">
        <v>0.8</v>
      </c>
      <c r="AN812" s="9">
        <v>412</v>
      </c>
      <c r="AO812" s="8" t="s">
        <v>1524</v>
      </c>
      <c r="AP812" s="8">
        <v>985</v>
      </c>
      <c r="AQ812" s="8">
        <v>24</v>
      </c>
      <c r="AR812" s="8">
        <v>28.1</v>
      </c>
      <c r="AS812" s="8">
        <v>26.4</v>
      </c>
      <c r="AT812" s="8">
        <v>38</v>
      </c>
      <c r="AU812" s="8">
        <v>17.8</v>
      </c>
      <c r="AV812" s="8">
        <v>72</v>
      </c>
      <c r="AW812" s="8">
        <v>50</v>
      </c>
      <c r="AX812" s="8">
        <v>297</v>
      </c>
      <c r="AY812" s="8">
        <v>55</v>
      </c>
      <c r="AZ812" s="8" t="s">
        <v>114</v>
      </c>
      <c r="BA812" s="7" t="s">
        <v>46</v>
      </c>
      <c r="BB812" s="9">
        <v>376</v>
      </c>
      <c r="BC812" s="8" t="s">
        <v>1523</v>
      </c>
      <c r="BD812" s="8">
        <v>0.4</v>
      </c>
      <c r="BE812" s="8">
        <v>0.5</v>
      </c>
      <c r="BF812" s="8">
        <v>1.1000000000000001</v>
      </c>
      <c r="BG812" s="8">
        <v>2.8</v>
      </c>
      <c r="BH812" s="8">
        <v>5.3</v>
      </c>
      <c r="BI812" s="8">
        <v>10.1</v>
      </c>
      <c r="BJ812" s="8">
        <v>13.8</v>
      </c>
      <c r="BK812" s="8">
        <v>12.1</v>
      </c>
      <c r="BL812" s="8">
        <v>7.1</v>
      </c>
      <c r="BM812" s="8">
        <v>3.4</v>
      </c>
      <c r="BN812" s="8">
        <v>1.1000000000000001</v>
      </c>
      <c r="BO812" s="8">
        <v>0.5</v>
      </c>
      <c r="BP812" s="7">
        <v>4.9000000000000004</v>
      </c>
    </row>
    <row r="813" spans="1:68" ht="14.25" customHeight="1">
      <c r="A813" s="12">
        <v>156</v>
      </c>
      <c r="B813" s="14">
        <v>178</v>
      </c>
      <c r="C813" s="13" t="s">
        <v>30</v>
      </c>
      <c r="D813" s="13" t="s">
        <v>29</v>
      </c>
      <c r="E813" s="13" t="s">
        <v>1520</v>
      </c>
      <c r="F813" s="11">
        <v>-25.6</v>
      </c>
      <c r="G813" s="11">
        <v>-25.7</v>
      </c>
      <c r="H813" s="11">
        <v>-24.3</v>
      </c>
      <c r="I813" s="11">
        <v>-17.2</v>
      </c>
      <c r="J813" s="11">
        <v>-8.1</v>
      </c>
      <c r="K813" s="11">
        <v>0.2</v>
      </c>
      <c r="L813" s="11">
        <v>4.5999999999999996</v>
      </c>
      <c r="M813" s="11">
        <v>5</v>
      </c>
      <c r="N813" s="11">
        <v>1.6</v>
      </c>
      <c r="O813" s="11">
        <v>-7.3</v>
      </c>
      <c r="P813" s="11">
        <v>-17.600000000000001</v>
      </c>
      <c r="Q813" s="11">
        <v>-22.3</v>
      </c>
      <c r="R813" s="10">
        <v>-11.4</v>
      </c>
      <c r="S813" s="12">
        <v>178</v>
      </c>
      <c r="T813" s="8" t="s">
        <v>1522</v>
      </c>
      <c r="U813" s="11">
        <v>-45</v>
      </c>
      <c r="V813" s="11">
        <v>-44</v>
      </c>
      <c r="W813" s="11">
        <v>-42</v>
      </c>
      <c r="X813" s="11">
        <v>-41</v>
      </c>
      <c r="Y813" s="11">
        <v>-31</v>
      </c>
      <c r="Z813" s="11">
        <v>-49</v>
      </c>
      <c r="AA813" s="11">
        <v>7.7</v>
      </c>
      <c r="AB813" s="11">
        <v>267</v>
      </c>
      <c r="AC813" s="11">
        <v>-16.7</v>
      </c>
      <c r="AD813" s="11">
        <v>365</v>
      </c>
      <c r="AE813" s="11">
        <v>-11.4</v>
      </c>
      <c r="AF813" s="11">
        <v>365</v>
      </c>
      <c r="AG813" s="11">
        <v>-11.4</v>
      </c>
      <c r="AH813" s="11">
        <v>86</v>
      </c>
      <c r="AI813" s="11">
        <v>86</v>
      </c>
      <c r="AJ813" s="11" t="s">
        <v>84</v>
      </c>
      <c r="AK813" s="11" t="s">
        <v>34</v>
      </c>
      <c r="AL813" s="11">
        <v>12.2</v>
      </c>
      <c r="AM813" s="10">
        <v>7.5</v>
      </c>
      <c r="AN813" s="9">
        <v>178</v>
      </c>
      <c r="AO813" s="8" t="s">
        <v>1521</v>
      </c>
      <c r="AP813" s="8">
        <v>1005</v>
      </c>
      <c r="AQ813" s="8">
        <v>5.0999999999999996</v>
      </c>
      <c r="AR813" s="8">
        <v>10.1</v>
      </c>
      <c r="AS813" s="8">
        <v>7.5</v>
      </c>
      <c r="AT813" s="8">
        <v>27</v>
      </c>
      <c r="AU813" s="8">
        <v>5.5</v>
      </c>
      <c r="AV813" s="8">
        <v>89</v>
      </c>
      <c r="AW813" s="8">
        <v>86</v>
      </c>
      <c r="AX813" s="8" t="s">
        <v>44</v>
      </c>
      <c r="AY813" s="8">
        <v>31</v>
      </c>
      <c r="AZ813" s="8" t="s">
        <v>37</v>
      </c>
      <c r="BA813" s="7">
        <v>6.7</v>
      </c>
      <c r="BB813" s="9"/>
      <c r="BC813" s="8" t="s">
        <v>1520</v>
      </c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7"/>
    </row>
    <row r="814" spans="1:68" ht="14.25" customHeight="1">
      <c r="A814" s="12">
        <v>157</v>
      </c>
      <c r="B814" s="14">
        <v>210</v>
      </c>
      <c r="C814" s="13" t="s">
        <v>30</v>
      </c>
      <c r="D814" s="13" t="s">
        <v>1008</v>
      </c>
      <c r="E814" s="13" t="s">
        <v>1517</v>
      </c>
      <c r="F814" s="11">
        <v>-10.4</v>
      </c>
      <c r="G814" s="11">
        <v>-9.5</v>
      </c>
      <c r="H814" s="11">
        <v>-4.4000000000000004</v>
      </c>
      <c r="I814" s="11">
        <v>4.3</v>
      </c>
      <c r="J814" s="11">
        <v>11.5</v>
      </c>
      <c r="K814" s="11">
        <v>15.7</v>
      </c>
      <c r="L814" s="11">
        <v>17.5</v>
      </c>
      <c r="M814" s="11">
        <v>15.7</v>
      </c>
      <c r="N814" s="11">
        <v>10.3</v>
      </c>
      <c r="O814" s="11">
        <v>4</v>
      </c>
      <c r="P814" s="11">
        <v>-2.4</v>
      </c>
      <c r="Q814" s="11">
        <v>-7.2</v>
      </c>
      <c r="R814" s="10">
        <v>3.8</v>
      </c>
      <c r="S814" s="12">
        <v>210</v>
      </c>
      <c r="T814" s="8" t="s">
        <v>1519</v>
      </c>
      <c r="U814" s="11">
        <v>-36</v>
      </c>
      <c r="V814" s="11">
        <v>-33</v>
      </c>
      <c r="W814" s="11">
        <v>-32</v>
      </c>
      <c r="X814" s="11">
        <v>-28</v>
      </c>
      <c r="Y814" s="11">
        <v>-15</v>
      </c>
      <c r="Z814" s="11">
        <v>-43</v>
      </c>
      <c r="AA814" s="11">
        <v>6.3</v>
      </c>
      <c r="AB814" s="11">
        <v>147</v>
      </c>
      <c r="AC814" s="11">
        <v>-6.5</v>
      </c>
      <c r="AD814" s="11">
        <v>216</v>
      </c>
      <c r="AE814" s="11">
        <v>-3.1</v>
      </c>
      <c r="AF814" s="11">
        <v>235</v>
      </c>
      <c r="AG814" s="11">
        <v>-2.2000000000000002</v>
      </c>
      <c r="AH814" s="11">
        <v>84</v>
      </c>
      <c r="AI814" s="11">
        <v>84</v>
      </c>
      <c r="AJ814" s="11">
        <v>183</v>
      </c>
      <c r="AK814" s="11" t="s">
        <v>34</v>
      </c>
      <c r="AL814" s="11">
        <v>5.2</v>
      </c>
      <c r="AM814" s="10">
        <v>3.8</v>
      </c>
      <c r="AN814" s="9">
        <v>210</v>
      </c>
      <c r="AO814" s="8" t="s">
        <v>1518</v>
      </c>
      <c r="AP814" s="8">
        <v>990</v>
      </c>
      <c r="AQ814" s="8">
        <v>20.3</v>
      </c>
      <c r="AR814" s="8">
        <v>24.6</v>
      </c>
      <c r="AS814" s="8">
        <v>22.7</v>
      </c>
      <c r="AT814" s="8">
        <v>36</v>
      </c>
      <c r="AU814" s="8">
        <v>10</v>
      </c>
      <c r="AV814" s="8">
        <v>74</v>
      </c>
      <c r="AW814" s="8">
        <v>57</v>
      </c>
      <c r="AX814" s="8">
        <v>447</v>
      </c>
      <c r="AY814" s="8">
        <v>81</v>
      </c>
      <c r="AZ814" s="8" t="s">
        <v>54</v>
      </c>
      <c r="BA814" s="7">
        <v>3.1</v>
      </c>
      <c r="BB814" s="9">
        <v>185</v>
      </c>
      <c r="BC814" s="8" t="s">
        <v>1517</v>
      </c>
      <c r="BD814" s="8">
        <v>2.7</v>
      </c>
      <c r="BE814" s="8">
        <v>2.8</v>
      </c>
      <c r="BF814" s="8">
        <v>3.7</v>
      </c>
      <c r="BG814" s="8">
        <v>6</v>
      </c>
      <c r="BH814" s="8">
        <v>8.9</v>
      </c>
      <c r="BI814" s="8">
        <v>12.2</v>
      </c>
      <c r="BJ814" s="8">
        <v>14.5</v>
      </c>
      <c r="BK814" s="8">
        <v>13.9</v>
      </c>
      <c r="BL814" s="8">
        <v>10.199999999999999</v>
      </c>
      <c r="BM814" s="8">
        <v>7</v>
      </c>
      <c r="BN814" s="8">
        <v>4.7</v>
      </c>
      <c r="BO814" s="8">
        <v>3.5</v>
      </c>
      <c r="BP814" s="7">
        <v>7.5</v>
      </c>
    </row>
    <row r="815" spans="1:68" ht="14.25" customHeight="1">
      <c r="A815" s="12">
        <v>158</v>
      </c>
      <c r="B815" s="14">
        <v>610</v>
      </c>
      <c r="C815" s="13" t="s">
        <v>52</v>
      </c>
      <c r="D815" s="13" t="s">
        <v>1158</v>
      </c>
      <c r="E815" s="13" t="s">
        <v>1515</v>
      </c>
      <c r="F815" s="11">
        <v>-5.5</v>
      </c>
      <c r="G815" s="11">
        <v>-4.0999999999999996</v>
      </c>
      <c r="H815" s="11">
        <v>0.8</v>
      </c>
      <c r="I815" s="11">
        <v>9.4</v>
      </c>
      <c r="J815" s="11">
        <v>16</v>
      </c>
      <c r="K815" s="11">
        <v>19.600000000000001</v>
      </c>
      <c r="L815" s="11">
        <v>21.3</v>
      </c>
      <c r="M815" s="11">
        <v>20.6</v>
      </c>
      <c r="N815" s="11">
        <v>15.4</v>
      </c>
      <c r="O815" s="11">
        <v>8.4</v>
      </c>
      <c r="P815" s="11">
        <v>2.5</v>
      </c>
      <c r="Q815" s="11">
        <v>-2.1</v>
      </c>
      <c r="R815" s="10">
        <v>8.5</v>
      </c>
      <c r="S815" s="12">
        <v>599</v>
      </c>
      <c r="T815" s="8" t="s">
        <v>1515</v>
      </c>
      <c r="U815" s="11">
        <v>-29</v>
      </c>
      <c r="V815" s="11">
        <v>-27</v>
      </c>
      <c r="W815" s="11">
        <v>-26</v>
      </c>
      <c r="X815" s="11">
        <v>-24</v>
      </c>
      <c r="Y815" s="11">
        <v>-10</v>
      </c>
      <c r="Z815" s="11">
        <v>-38</v>
      </c>
      <c r="AA815" s="11" t="s">
        <v>49</v>
      </c>
      <c r="AB815" s="11">
        <v>100</v>
      </c>
      <c r="AC815" s="11">
        <v>-3.7</v>
      </c>
      <c r="AD815" s="11">
        <v>172</v>
      </c>
      <c r="AE815" s="11">
        <v>-0.6</v>
      </c>
      <c r="AF815" s="11">
        <v>187</v>
      </c>
      <c r="AG815" s="11">
        <v>0.2</v>
      </c>
      <c r="AH815" s="11" t="s">
        <v>49</v>
      </c>
      <c r="AI815" s="11" t="s">
        <v>49</v>
      </c>
      <c r="AJ815" s="11">
        <v>209</v>
      </c>
      <c r="AK815" s="11" t="s">
        <v>66</v>
      </c>
      <c r="AL815" s="11" t="s">
        <v>44</v>
      </c>
      <c r="AM815" s="10" t="s">
        <v>44</v>
      </c>
      <c r="AN815" s="9">
        <v>600</v>
      </c>
      <c r="AO815" s="8" t="s">
        <v>1516</v>
      </c>
      <c r="AP815" s="8">
        <v>1000</v>
      </c>
      <c r="AQ815" s="8">
        <v>31</v>
      </c>
      <c r="AR815" s="8">
        <v>27</v>
      </c>
      <c r="AS815" s="8">
        <v>27.4</v>
      </c>
      <c r="AT815" s="8">
        <v>40</v>
      </c>
      <c r="AU815" s="8" t="s">
        <v>46</v>
      </c>
      <c r="AV815" s="8" t="s">
        <v>45</v>
      </c>
      <c r="AW815" s="8" t="s">
        <v>44</v>
      </c>
      <c r="AX815" s="8" t="s">
        <v>44</v>
      </c>
      <c r="AY815" s="8">
        <v>82</v>
      </c>
      <c r="AZ815" s="8" t="s">
        <v>32</v>
      </c>
      <c r="BA815" s="7">
        <v>2.6</v>
      </c>
      <c r="BB815" s="9"/>
      <c r="BC815" s="8" t="s">
        <v>1515</v>
      </c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7"/>
    </row>
    <row r="816" spans="1:68" ht="14.25" customHeight="1">
      <c r="A816" s="12">
        <v>159</v>
      </c>
      <c r="B816" s="14">
        <v>288</v>
      </c>
      <c r="C816" s="13" t="s">
        <v>30</v>
      </c>
      <c r="D816" s="13" t="s">
        <v>72</v>
      </c>
      <c r="E816" s="13" t="s">
        <v>1512</v>
      </c>
      <c r="F816" s="11">
        <v>-13.5</v>
      </c>
      <c r="G816" s="11">
        <v>-12.4</v>
      </c>
      <c r="H816" s="11">
        <v>-6.5</v>
      </c>
      <c r="I816" s="11">
        <v>0.9</v>
      </c>
      <c r="J816" s="11">
        <v>6.2</v>
      </c>
      <c r="K816" s="11">
        <v>10.9</v>
      </c>
      <c r="L816" s="11">
        <v>15.3</v>
      </c>
      <c r="M816" s="11">
        <v>16.899999999999999</v>
      </c>
      <c r="N816" s="11">
        <v>13.1</v>
      </c>
      <c r="O816" s="11">
        <v>6.4</v>
      </c>
      <c r="P816" s="11">
        <v>-1.9</v>
      </c>
      <c r="Q816" s="11">
        <v>-8.6</v>
      </c>
      <c r="R816" s="10">
        <v>2.2000000000000002</v>
      </c>
      <c r="S816" s="12">
        <v>288</v>
      </c>
      <c r="T816" s="8" t="s">
        <v>1514</v>
      </c>
      <c r="U816" s="11">
        <v>-29</v>
      </c>
      <c r="V816" s="11">
        <v>-27</v>
      </c>
      <c r="W816" s="11">
        <v>-25</v>
      </c>
      <c r="X816" s="11">
        <v>-24</v>
      </c>
      <c r="Y816" s="11">
        <v>-18</v>
      </c>
      <c r="Z816" s="11">
        <v>-35</v>
      </c>
      <c r="AA816" s="11">
        <v>10.1</v>
      </c>
      <c r="AB816" s="11">
        <v>154</v>
      </c>
      <c r="AC816" s="11">
        <v>-8.1</v>
      </c>
      <c r="AD816" s="11">
        <v>231</v>
      </c>
      <c r="AE816" s="11">
        <v>-4</v>
      </c>
      <c r="AF816" s="11">
        <v>253</v>
      </c>
      <c r="AG816" s="11">
        <v>-2.9</v>
      </c>
      <c r="AH816" s="11">
        <v>78</v>
      </c>
      <c r="AI816" s="11">
        <v>67</v>
      </c>
      <c r="AJ816" s="11">
        <v>348</v>
      </c>
      <c r="AK816" s="11" t="s">
        <v>34</v>
      </c>
      <c r="AL816" s="11">
        <v>5.6</v>
      </c>
      <c r="AM816" s="10">
        <v>3.8</v>
      </c>
      <c r="AN816" s="9">
        <v>282</v>
      </c>
      <c r="AO816" s="8" t="s">
        <v>1513</v>
      </c>
      <c r="AP816" s="8">
        <v>1005</v>
      </c>
      <c r="AQ816" s="8">
        <v>19.8</v>
      </c>
      <c r="AR816" s="8">
        <v>24.1</v>
      </c>
      <c r="AS816" s="8">
        <v>22.2</v>
      </c>
      <c r="AT816" s="8">
        <v>35</v>
      </c>
      <c r="AU816" s="8">
        <v>9.3000000000000007</v>
      </c>
      <c r="AV816" s="8">
        <v>85</v>
      </c>
      <c r="AW816" s="8">
        <v>73</v>
      </c>
      <c r="AX816" s="8">
        <v>654</v>
      </c>
      <c r="AY816" s="8">
        <v>222</v>
      </c>
      <c r="AZ816" s="8" t="s">
        <v>151</v>
      </c>
      <c r="BA816" s="7">
        <v>0</v>
      </c>
      <c r="BB816" s="9">
        <v>253</v>
      </c>
      <c r="BC816" s="8" t="s">
        <v>1512</v>
      </c>
      <c r="BD816" s="8">
        <v>1.9</v>
      </c>
      <c r="BE816" s="8">
        <v>2</v>
      </c>
      <c r="BF816" s="8">
        <v>3</v>
      </c>
      <c r="BG816" s="8">
        <v>4.9000000000000004</v>
      </c>
      <c r="BH816" s="8">
        <v>7</v>
      </c>
      <c r="BI816" s="8">
        <v>10.5</v>
      </c>
      <c r="BJ816" s="8">
        <v>14.8</v>
      </c>
      <c r="BK816" s="8">
        <v>16</v>
      </c>
      <c r="BL816" s="8">
        <v>12.1</v>
      </c>
      <c r="BM816" s="8">
        <v>7.4</v>
      </c>
      <c r="BN816" s="8">
        <v>4.2</v>
      </c>
      <c r="BO816" s="8">
        <v>2.7</v>
      </c>
      <c r="BP816" s="7">
        <v>7.2</v>
      </c>
    </row>
    <row r="817" spans="1:68" ht="14.25" customHeight="1">
      <c r="A817" s="12">
        <v>160</v>
      </c>
      <c r="B817" s="14">
        <v>613</v>
      </c>
      <c r="C817" s="13" t="s">
        <v>52</v>
      </c>
      <c r="D817" s="13" t="s">
        <v>1511</v>
      </c>
      <c r="E817" s="13" t="s">
        <v>1509</v>
      </c>
      <c r="F817" s="11">
        <v>-6.1</v>
      </c>
      <c r="G817" s="11">
        <v>-4.8</v>
      </c>
      <c r="H817" s="11">
        <v>0.4</v>
      </c>
      <c r="I817" s="11">
        <v>9.3000000000000007</v>
      </c>
      <c r="J817" s="11">
        <v>15.5</v>
      </c>
      <c r="K817" s="11">
        <v>19</v>
      </c>
      <c r="L817" s="11">
        <v>20.9</v>
      </c>
      <c r="M817" s="11">
        <v>20.100000000000001</v>
      </c>
      <c r="N817" s="11">
        <v>14.9</v>
      </c>
      <c r="O817" s="11">
        <v>7.8</v>
      </c>
      <c r="P817" s="11">
        <v>2</v>
      </c>
      <c r="Q817" s="11">
        <v>-2.6</v>
      </c>
      <c r="R817" s="10">
        <v>8</v>
      </c>
      <c r="S817" s="12">
        <v>602</v>
      </c>
      <c r="T817" s="8" t="s">
        <v>1509</v>
      </c>
      <c r="U817" s="11">
        <v>-28</v>
      </c>
      <c r="V817" s="11">
        <v>-26</v>
      </c>
      <c r="W817" s="11">
        <v>-24</v>
      </c>
      <c r="X817" s="11">
        <v>-22</v>
      </c>
      <c r="Y817" s="11">
        <v>-9</v>
      </c>
      <c r="Z817" s="11">
        <v>-34</v>
      </c>
      <c r="AA817" s="11" t="s">
        <v>49</v>
      </c>
      <c r="AB817" s="11">
        <v>105</v>
      </c>
      <c r="AC817" s="11">
        <v>-4.0999999999999996</v>
      </c>
      <c r="AD817" s="11">
        <v>176</v>
      </c>
      <c r="AE817" s="11">
        <v>-0.9</v>
      </c>
      <c r="AF817" s="11">
        <v>190</v>
      </c>
      <c r="AG817" s="11">
        <v>-0.2</v>
      </c>
      <c r="AH817" s="11" t="s">
        <v>49</v>
      </c>
      <c r="AI817" s="11" t="s">
        <v>49</v>
      </c>
      <c r="AJ817" s="11">
        <v>204</v>
      </c>
      <c r="AK817" s="11" t="s">
        <v>27</v>
      </c>
      <c r="AL817" s="11" t="s">
        <v>44</v>
      </c>
      <c r="AM817" s="10" t="s">
        <v>44</v>
      </c>
      <c r="AN817" s="9">
        <v>603</v>
      </c>
      <c r="AO817" s="8" t="s">
        <v>1510</v>
      </c>
      <c r="AP817" s="8">
        <v>990</v>
      </c>
      <c r="AQ817" s="8">
        <v>30</v>
      </c>
      <c r="AR817" s="8">
        <v>26</v>
      </c>
      <c r="AS817" s="8">
        <v>26.9</v>
      </c>
      <c r="AT817" s="8">
        <v>39</v>
      </c>
      <c r="AU817" s="8" t="s">
        <v>46</v>
      </c>
      <c r="AV817" s="8" t="s">
        <v>45</v>
      </c>
      <c r="AW817" s="8" t="s">
        <v>44</v>
      </c>
      <c r="AX817" s="8" t="s">
        <v>44</v>
      </c>
      <c r="AY817" s="8">
        <v>125</v>
      </c>
      <c r="AZ817" s="8" t="s">
        <v>37</v>
      </c>
      <c r="BA817" s="7">
        <v>2.2999999999999998</v>
      </c>
      <c r="BB817" s="9"/>
      <c r="BC817" s="8" t="s">
        <v>1509</v>
      </c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7"/>
    </row>
    <row r="818" spans="1:68" ht="14.25" customHeight="1">
      <c r="A818" s="12">
        <v>161</v>
      </c>
      <c r="B818" s="14">
        <v>413</v>
      </c>
      <c r="C818" s="13" t="s">
        <v>30</v>
      </c>
      <c r="D818" s="13" t="s">
        <v>57</v>
      </c>
      <c r="E818" s="13" t="s">
        <v>1507</v>
      </c>
      <c r="F818" s="11">
        <v>-39.4</v>
      </c>
      <c r="G818" s="11">
        <v>-37</v>
      </c>
      <c r="H818" s="11">
        <v>-28</v>
      </c>
      <c r="I818" s="11">
        <v>-14.5</v>
      </c>
      <c r="J818" s="11">
        <v>0.4</v>
      </c>
      <c r="K818" s="11">
        <v>11.5</v>
      </c>
      <c r="L818" s="11">
        <v>13.7</v>
      </c>
      <c r="M818" s="11">
        <v>10.5</v>
      </c>
      <c r="N818" s="11">
        <v>2.9</v>
      </c>
      <c r="O818" s="11">
        <v>-12.4</v>
      </c>
      <c r="P818" s="11">
        <v>-29.6</v>
      </c>
      <c r="Q818" s="11">
        <v>-37</v>
      </c>
      <c r="R818" s="10">
        <v>-13.2</v>
      </c>
      <c r="S818" s="12">
        <v>413</v>
      </c>
      <c r="T818" s="8" t="s">
        <v>1507</v>
      </c>
      <c r="U818" s="11">
        <v>-57</v>
      </c>
      <c r="V818" s="11">
        <v>-56</v>
      </c>
      <c r="W818" s="11">
        <v>-53</v>
      </c>
      <c r="X818" s="11">
        <v>-52</v>
      </c>
      <c r="Y818" s="11">
        <v>-44</v>
      </c>
      <c r="Z818" s="11">
        <v>-58</v>
      </c>
      <c r="AA818" s="11">
        <v>8.8000000000000007</v>
      </c>
      <c r="AB818" s="11">
        <v>236</v>
      </c>
      <c r="AC818" s="11">
        <v>-25.2</v>
      </c>
      <c r="AD818" s="11">
        <v>284</v>
      </c>
      <c r="AE818" s="11">
        <v>-20.2</v>
      </c>
      <c r="AF818" s="11">
        <v>297</v>
      </c>
      <c r="AG818" s="11">
        <v>-18.899999999999999</v>
      </c>
      <c r="AH818" s="11">
        <v>76</v>
      </c>
      <c r="AI818" s="11">
        <v>76</v>
      </c>
      <c r="AJ818" s="11">
        <v>78</v>
      </c>
      <c r="AK818" s="11" t="s">
        <v>75</v>
      </c>
      <c r="AL818" s="11">
        <v>2.8</v>
      </c>
      <c r="AM818" s="10">
        <v>1.5</v>
      </c>
      <c r="AN818" s="9">
        <v>413</v>
      </c>
      <c r="AO818" s="8" t="s">
        <v>1508</v>
      </c>
      <c r="AP818" s="8">
        <v>1005</v>
      </c>
      <c r="AQ818" s="8">
        <v>16.5</v>
      </c>
      <c r="AR818" s="8">
        <v>21</v>
      </c>
      <c r="AS818" s="8">
        <v>18.899999999999999</v>
      </c>
      <c r="AT818" s="8">
        <v>36</v>
      </c>
      <c r="AU818" s="8">
        <v>9.5</v>
      </c>
      <c r="AV818" s="8">
        <v>72</v>
      </c>
      <c r="AW818" s="8">
        <v>62</v>
      </c>
      <c r="AX818" s="8">
        <v>204</v>
      </c>
      <c r="AY818" s="8">
        <v>45</v>
      </c>
      <c r="AZ818" s="8" t="s">
        <v>32</v>
      </c>
      <c r="BA818" s="7">
        <v>0</v>
      </c>
      <c r="BB818" s="9">
        <v>377</v>
      </c>
      <c r="BC818" s="8" t="s">
        <v>1507</v>
      </c>
      <c r="BD818" s="8">
        <v>0.2</v>
      </c>
      <c r="BE818" s="8">
        <v>0.3</v>
      </c>
      <c r="BF818" s="8">
        <v>0.5</v>
      </c>
      <c r="BG818" s="8">
        <v>1.5</v>
      </c>
      <c r="BH818" s="8">
        <v>4.3</v>
      </c>
      <c r="BI818" s="8">
        <v>8.8000000000000007</v>
      </c>
      <c r="BJ818" s="8">
        <v>11.3</v>
      </c>
      <c r="BK818" s="8">
        <v>10</v>
      </c>
      <c r="BL818" s="8">
        <v>6</v>
      </c>
      <c r="BM818" s="8">
        <v>2.2999999999999998</v>
      </c>
      <c r="BN818" s="8">
        <v>0.5</v>
      </c>
      <c r="BO818" s="8">
        <v>0.3</v>
      </c>
      <c r="BP818" s="7">
        <v>3.8</v>
      </c>
    </row>
    <row r="819" spans="1:68" ht="14.25" customHeight="1">
      <c r="A819" s="12">
        <v>162</v>
      </c>
      <c r="B819" s="14">
        <v>87</v>
      </c>
      <c r="C819" s="13" t="s">
        <v>30</v>
      </c>
      <c r="D819" s="13" t="s">
        <v>300</v>
      </c>
      <c r="E819" s="13" t="s">
        <v>1504</v>
      </c>
      <c r="F819" s="11">
        <v>-28.6</v>
      </c>
      <c r="G819" s="11">
        <v>-23.2</v>
      </c>
      <c r="H819" s="11">
        <v>-13.6</v>
      </c>
      <c r="I819" s="11">
        <v>-2.9</v>
      </c>
      <c r="J819" s="11">
        <v>5.7</v>
      </c>
      <c r="K819" s="11">
        <v>14.3</v>
      </c>
      <c r="L819" s="11">
        <v>17.7</v>
      </c>
      <c r="M819" s="11">
        <v>14</v>
      </c>
      <c r="N819" s="11">
        <v>6.4</v>
      </c>
      <c r="O819" s="11">
        <v>-2.2999999999999998</v>
      </c>
      <c r="P819" s="11">
        <v>-17.399999999999999</v>
      </c>
      <c r="Q819" s="11">
        <v>-25.8</v>
      </c>
      <c r="R819" s="10">
        <v>-4.5999999999999996</v>
      </c>
      <c r="S819" s="12">
        <v>87</v>
      </c>
      <c r="T819" s="8" t="s">
        <v>1506</v>
      </c>
      <c r="U819" s="11">
        <v>-53</v>
      </c>
      <c r="V819" s="11">
        <v>-52</v>
      </c>
      <c r="W819" s="11">
        <v>-52</v>
      </c>
      <c r="X819" s="11">
        <v>-50</v>
      </c>
      <c r="Y819" s="11">
        <v>-34</v>
      </c>
      <c r="Z819" s="11">
        <v>-55</v>
      </c>
      <c r="AA819" s="11">
        <v>9.1999999999999993</v>
      </c>
      <c r="AB819" s="11">
        <v>200</v>
      </c>
      <c r="AC819" s="11">
        <v>-16.899999999999999</v>
      </c>
      <c r="AD819" s="11">
        <v>257</v>
      </c>
      <c r="AE819" s="11">
        <v>-12.3</v>
      </c>
      <c r="AF819" s="11">
        <v>272</v>
      </c>
      <c r="AG819" s="11">
        <v>-11.1</v>
      </c>
      <c r="AH819" s="11">
        <v>78</v>
      </c>
      <c r="AI819" s="11">
        <v>76</v>
      </c>
      <c r="AJ819" s="11">
        <v>143</v>
      </c>
      <c r="AK819" s="11" t="s">
        <v>44</v>
      </c>
      <c r="AL819" s="11" t="s">
        <v>44</v>
      </c>
      <c r="AM819" s="10" t="s">
        <v>44</v>
      </c>
      <c r="AN819" s="9">
        <v>87</v>
      </c>
      <c r="AO819" s="8" t="s">
        <v>1505</v>
      </c>
      <c r="AP819" s="8">
        <v>955</v>
      </c>
      <c r="AQ819" s="8">
        <v>23.1</v>
      </c>
      <c r="AR819" s="8">
        <v>27.2</v>
      </c>
      <c r="AS819" s="8">
        <v>25.5</v>
      </c>
      <c r="AT819" s="8">
        <v>38</v>
      </c>
      <c r="AU819" s="8">
        <v>14.2</v>
      </c>
      <c r="AV819" s="8">
        <v>74</v>
      </c>
      <c r="AW819" s="8">
        <v>52</v>
      </c>
      <c r="AX819" s="8">
        <v>364</v>
      </c>
      <c r="AY819" s="8">
        <v>56</v>
      </c>
      <c r="AZ819" s="8" t="s">
        <v>114</v>
      </c>
      <c r="BA819" s="7" t="s">
        <v>46</v>
      </c>
      <c r="BB819" s="9">
        <v>71</v>
      </c>
      <c r="BC819" s="8" t="s">
        <v>1504</v>
      </c>
      <c r="BD819" s="8">
        <v>0.8</v>
      </c>
      <c r="BE819" s="8">
        <v>0.9</v>
      </c>
      <c r="BF819" s="8">
        <v>1.6</v>
      </c>
      <c r="BG819" s="8">
        <v>3.3</v>
      </c>
      <c r="BH819" s="8">
        <v>5.6</v>
      </c>
      <c r="BI819" s="8">
        <v>10.9</v>
      </c>
      <c r="BJ819" s="8">
        <v>14.8</v>
      </c>
      <c r="BK819" s="8">
        <v>12.7</v>
      </c>
      <c r="BL819" s="8">
        <v>8</v>
      </c>
      <c r="BM819" s="8">
        <v>4.4000000000000004</v>
      </c>
      <c r="BN819" s="8">
        <v>1.6</v>
      </c>
      <c r="BO819" s="8">
        <v>0.9</v>
      </c>
      <c r="BP819" s="7">
        <v>5.5</v>
      </c>
    </row>
    <row r="820" spans="1:68" ht="14.25" customHeight="1">
      <c r="A820" s="12">
        <v>163</v>
      </c>
      <c r="B820" s="14">
        <v>48</v>
      </c>
      <c r="C820" s="13" t="s">
        <v>30</v>
      </c>
      <c r="D820" s="13" t="s">
        <v>41</v>
      </c>
      <c r="E820" s="13" t="s">
        <v>1501</v>
      </c>
      <c r="F820" s="11">
        <v>-15.7</v>
      </c>
      <c r="G820" s="11">
        <v>-14.3</v>
      </c>
      <c r="H820" s="11">
        <v>-7.5</v>
      </c>
      <c r="I820" s="11">
        <v>2.8</v>
      </c>
      <c r="J820" s="11">
        <v>10.6</v>
      </c>
      <c r="K820" s="11">
        <v>15.3</v>
      </c>
      <c r="L820" s="11">
        <v>17</v>
      </c>
      <c r="M820" s="11">
        <v>14.8</v>
      </c>
      <c r="N820" s="11">
        <v>9.3000000000000007</v>
      </c>
      <c r="O820" s="11">
        <v>1.1000000000000001</v>
      </c>
      <c r="P820" s="11">
        <v>-6.7</v>
      </c>
      <c r="Q820" s="11">
        <v>-12.6</v>
      </c>
      <c r="R820" s="10">
        <v>1.2</v>
      </c>
      <c r="S820" s="12">
        <v>48</v>
      </c>
      <c r="T820" s="8" t="s">
        <v>1503</v>
      </c>
      <c r="U820" s="11">
        <v>-42</v>
      </c>
      <c r="V820" s="11">
        <v>-39</v>
      </c>
      <c r="W820" s="11">
        <v>-39</v>
      </c>
      <c r="X820" s="11">
        <v>-36</v>
      </c>
      <c r="Y820" s="11">
        <v>-21</v>
      </c>
      <c r="Z820" s="11">
        <v>-50</v>
      </c>
      <c r="AA820" s="11">
        <v>7.7</v>
      </c>
      <c r="AB820" s="11">
        <v>169</v>
      </c>
      <c r="AC820" s="11">
        <v>-9.9</v>
      </c>
      <c r="AD820" s="11">
        <v>228</v>
      </c>
      <c r="AE820" s="11">
        <v>-6.3</v>
      </c>
      <c r="AF820" s="11">
        <v>244</v>
      </c>
      <c r="AG820" s="11">
        <v>-5.2</v>
      </c>
      <c r="AH820" s="11">
        <v>80</v>
      </c>
      <c r="AI820" s="11">
        <v>77</v>
      </c>
      <c r="AJ820" s="11">
        <v>120</v>
      </c>
      <c r="AK820" s="11" t="s">
        <v>39</v>
      </c>
      <c r="AL820" s="11" t="s">
        <v>44</v>
      </c>
      <c r="AM820" s="10">
        <v>3.6</v>
      </c>
      <c r="AN820" s="9">
        <v>48</v>
      </c>
      <c r="AO820" s="8" t="s">
        <v>1502</v>
      </c>
      <c r="AP820" s="8">
        <v>970</v>
      </c>
      <c r="AQ820" s="8">
        <v>20.399999999999999</v>
      </c>
      <c r="AR820" s="8">
        <v>24.7</v>
      </c>
      <c r="AS820" s="8">
        <v>22.8</v>
      </c>
      <c r="AT820" s="8">
        <v>38</v>
      </c>
      <c r="AU820" s="8">
        <v>11.5</v>
      </c>
      <c r="AV820" s="8">
        <v>74</v>
      </c>
      <c r="AW820" s="8">
        <v>58</v>
      </c>
      <c r="AX820" s="8">
        <v>386</v>
      </c>
      <c r="AY820" s="8">
        <v>72</v>
      </c>
      <c r="AZ820" s="8" t="s">
        <v>32</v>
      </c>
      <c r="BA820" s="7" t="s">
        <v>46</v>
      </c>
      <c r="BB820" s="9">
        <v>34</v>
      </c>
      <c r="BC820" s="8" t="s">
        <v>1501</v>
      </c>
      <c r="BD820" s="8">
        <v>1.8</v>
      </c>
      <c r="BE820" s="8">
        <v>1.9</v>
      </c>
      <c r="BF820" s="8">
        <v>2.9</v>
      </c>
      <c r="BG820" s="8">
        <v>5.3</v>
      </c>
      <c r="BH820" s="8">
        <v>7.6</v>
      </c>
      <c r="BI820" s="8">
        <v>11.4</v>
      </c>
      <c r="BJ820" s="8">
        <v>14.3</v>
      </c>
      <c r="BK820" s="8">
        <v>12.7</v>
      </c>
      <c r="BL820" s="8">
        <v>8.9</v>
      </c>
      <c r="BM820" s="8">
        <v>5.5</v>
      </c>
      <c r="BN820" s="8">
        <v>3.5</v>
      </c>
      <c r="BO820" s="8">
        <v>2.2999999999999998</v>
      </c>
      <c r="BP820" s="7">
        <v>6.5</v>
      </c>
    </row>
    <row r="821" spans="1:68" ht="14.25" customHeight="1">
      <c r="A821" s="12">
        <v>164</v>
      </c>
      <c r="B821" s="14">
        <v>179</v>
      </c>
      <c r="C821" s="13" t="s">
        <v>30</v>
      </c>
      <c r="D821" s="13" t="s">
        <v>29</v>
      </c>
      <c r="E821" s="13" t="s">
        <v>1498</v>
      </c>
      <c r="F821" s="11">
        <v>-28</v>
      </c>
      <c r="G821" s="11">
        <v>-26.9</v>
      </c>
      <c r="H821" s="11">
        <v>-22.8</v>
      </c>
      <c r="I821" s="11">
        <v>-15</v>
      </c>
      <c r="J821" s="11">
        <v>-5.9</v>
      </c>
      <c r="K821" s="11">
        <v>5.0999999999999996</v>
      </c>
      <c r="L821" s="11">
        <v>13.2</v>
      </c>
      <c r="M821" s="11">
        <v>10.5</v>
      </c>
      <c r="N821" s="11">
        <v>3.8</v>
      </c>
      <c r="O821" s="11">
        <v>-8.1999999999999993</v>
      </c>
      <c r="P821" s="11">
        <v>-21.1</v>
      </c>
      <c r="Q821" s="11">
        <v>-25.6</v>
      </c>
      <c r="R821" s="10">
        <v>-10.1</v>
      </c>
      <c r="S821" s="12">
        <v>179</v>
      </c>
      <c r="T821" s="8" t="s">
        <v>1500</v>
      </c>
      <c r="U821" s="11">
        <v>-53</v>
      </c>
      <c r="V821" s="11">
        <v>-51</v>
      </c>
      <c r="W821" s="11">
        <v>-48</v>
      </c>
      <c r="X821" s="11">
        <v>-47</v>
      </c>
      <c r="Y821" s="11">
        <v>-33</v>
      </c>
      <c r="Z821" s="11">
        <v>-57</v>
      </c>
      <c r="AA821" s="11">
        <v>8.9</v>
      </c>
      <c r="AB821" s="11">
        <v>249</v>
      </c>
      <c r="AC821" s="11">
        <v>-18.3</v>
      </c>
      <c r="AD821" s="11">
        <v>303</v>
      </c>
      <c r="AE821" s="11">
        <v>-14.3</v>
      </c>
      <c r="AF821" s="11">
        <v>320</v>
      </c>
      <c r="AG821" s="11">
        <v>-13.1</v>
      </c>
      <c r="AH821" s="11">
        <v>76</v>
      </c>
      <c r="AI821" s="11">
        <v>76</v>
      </c>
      <c r="AJ821" s="11">
        <v>136</v>
      </c>
      <c r="AK821" s="11" t="s">
        <v>27</v>
      </c>
      <c r="AL821" s="11">
        <v>7.7</v>
      </c>
      <c r="AM821" s="10">
        <v>5.5</v>
      </c>
      <c r="AN821" s="9">
        <v>179</v>
      </c>
      <c r="AO821" s="8" t="s">
        <v>1499</v>
      </c>
      <c r="AP821" s="8">
        <v>1005</v>
      </c>
      <c r="AQ821" s="8">
        <v>15.7</v>
      </c>
      <c r="AR821" s="8">
        <v>20.399999999999999</v>
      </c>
      <c r="AS821" s="8">
        <v>18.100000000000001</v>
      </c>
      <c r="AT821" s="8">
        <v>32</v>
      </c>
      <c r="AU821" s="8">
        <v>9</v>
      </c>
      <c r="AV821" s="8">
        <v>71</v>
      </c>
      <c r="AW821" s="8">
        <v>64</v>
      </c>
      <c r="AX821" s="8">
        <v>314</v>
      </c>
      <c r="AY821" s="8">
        <v>48</v>
      </c>
      <c r="AZ821" s="8" t="s">
        <v>32</v>
      </c>
      <c r="BA821" s="7">
        <v>4</v>
      </c>
      <c r="BB821" s="9">
        <v>157</v>
      </c>
      <c r="BC821" s="8" t="s">
        <v>1498</v>
      </c>
      <c r="BD821" s="8">
        <v>0.7</v>
      </c>
      <c r="BE821" s="8">
        <v>0.7</v>
      </c>
      <c r="BF821" s="8">
        <v>1.1000000000000001</v>
      </c>
      <c r="BG821" s="8">
        <v>2</v>
      </c>
      <c r="BH821" s="8">
        <v>3.5</v>
      </c>
      <c r="BI821" s="8">
        <v>7.2</v>
      </c>
      <c r="BJ821" s="8">
        <v>11.2</v>
      </c>
      <c r="BK821" s="8">
        <v>9.9</v>
      </c>
      <c r="BL821" s="8">
        <v>7</v>
      </c>
      <c r="BM821" s="8">
        <v>3.3</v>
      </c>
      <c r="BN821" s="8">
        <v>1.2</v>
      </c>
      <c r="BO821" s="8">
        <v>0.9</v>
      </c>
      <c r="BP821" s="7">
        <v>4.0999999999999996</v>
      </c>
    </row>
    <row r="822" spans="1:68" ht="14.25" customHeight="1">
      <c r="A822" s="12">
        <v>165</v>
      </c>
      <c r="B822" s="14">
        <v>571</v>
      </c>
      <c r="C822" s="13" t="s">
        <v>135</v>
      </c>
      <c r="D822" s="13" t="s">
        <v>1497</v>
      </c>
      <c r="E822" s="13" t="s">
        <v>1494</v>
      </c>
      <c r="F822" s="11">
        <v>2</v>
      </c>
      <c r="G822" s="11">
        <v>4.0999999999999996</v>
      </c>
      <c r="H822" s="11">
        <v>9.1</v>
      </c>
      <c r="I822" s="11">
        <v>15.4</v>
      </c>
      <c r="J822" s="11">
        <v>19.7</v>
      </c>
      <c r="K822" s="11">
        <v>24.7</v>
      </c>
      <c r="L822" s="11">
        <v>26.8</v>
      </c>
      <c r="M822" s="11">
        <v>24.6</v>
      </c>
      <c r="N822" s="11">
        <v>19.8</v>
      </c>
      <c r="O822" s="11">
        <v>13.9</v>
      </c>
      <c r="P822" s="11">
        <v>8.3000000000000007</v>
      </c>
      <c r="Q822" s="11">
        <v>4</v>
      </c>
      <c r="R822" s="10">
        <v>14.4</v>
      </c>
      <c r="S822" s="15"/>
      <c r="T822" s="8" t="s">
        <v>1496</v>
      </c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7"/>
      <c r="AN822" s="9">
        <v>550</v>
      </c>
      <c r="AO822" s="8" t="s">
        <v>1495</v>
      </c>
      <c r="AP822" s="8">
        <v>795</v>
      </c>
      <c r="AQ822" s="8">
        <v>38</v>
      </c>
      <c r="AR822" s="8">
        <v>34</v>
      </c>
      <c r="AS822" s="8">
        <v>33.9</v>
      </c>
      <c r="AT822" s="8">
        <v>43</v>
      </c>
      <c r="AU822" s="8" t="s">
        <v>46</v>
      </c>
      <c r="AV822" s="8">
        <v>17.8</v>
      </c>
      <c r="AW822" s="8">
        <v>24</v>
      </c>
      <c r="AX822" s="8">
        <v>247</v>
      </c>
      <c r="AY822" s="8">
        <v>24</v>
      </c>
      <c r="AZ822" s="8" t="s">
        <v>43</v>
      </c>
      <c r="BA822" s="7">
        <v>1.3</v>
      </c>
      <c r="BB822" s="9"/>
      <c r="BC822" s="8" t="s">
        <v>1494</v>
      </c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7"/>
    </row>
    <row r="823" spans="1:68" ht="14.25" customHeight="1">
      <c r="A823" s="12">
        <v>166</v>
      </c>
      <c r="B823" s="14">
        <v>279</v>
      </c>
      <c r="C823" s="13" t="s">
        <v>30</v>
      </c>
      <c r="D823" s="13" t="s">
        <v>131</v>
      </c>
      <c r="E823" s="13" t="s">
        <v>1491</v>
      </c>
      <c r="F823" s="11">
        <v>-15.5</v>
      </c>
      <c r="G823" s="11">
        <v>-13.6</v>
      </c>
      <c r="H823" s="11">
        <v>-6.9</v>
      </c>
      <c r="I823" s="11">
        <v>2.7</v>
      </c>
      <c r="J823" s="11">
        <v>10</v>
      </c>
      <c r="K823" s="11">
        <v>15.1</v>
      </c>
      <c r="L823" s="11">
        <v>17.2</v>
      </c>
      <c r="M823" s="11">
        <v>14.9</v>
      </c>
      <c r="N823" s="11">
        <v>9.1999999999999993</v>
      </c>
      <c r="O823" s="11">
        <v>1.2</v>
      </c>
      <c r="P823" s="11">
        <v>-6.8</v>
      </c>
      <c r="Q823" s="11">
        <v>-13.1</v>
      </c>
      <c r="R823" s="10">
        <v>1.2</v>
      </c>
      <c r="S823" s="12">
        <v>279</v>
      </c>
      <c r="T823" s="8" t="s">
        <v>1493</v>
      </c>
      <c r="U823" s="11">
        <v>-42</v>
      </c>
      <c r="V823" s="11">
        <v>-40</v>
      </c>
      <c r="W823" s="11">
        <v>-38</v>
      </c>
      <c r="X823" s="11">
        <v>-35</v>
      </c>
      <c r="Y823" s="11">
        <v>-20</v>
      </c>
      <c r="Z823" s="11">
        <v>-47</v>
      </c>
      <c r="AA823" s="11">
        <v>7.1</v>
      </c>
      <c r="AB823" s="11">
        <v>168</v>
      </c>
      <c r="AC823" s="11">
        <v>-9.6999999999999993</v>
      </c>
      <c r="AD823" s="11">
        <v>230</v>
      </c>
      <c r="AE823" s="11">
        <v>-6</v>
      </c>
      <c r="AF823" s="11">
        <v>245</v>
      </c>
      <c r="AG823" s="11">
        <v>-5.3</v>
      </c>
      <c r="AH823" s="11">
        <v>79</v>
      </c>
      <c r="AI823" s="11">
        <v>73</v>
      </c>
      <c r="AJ823" s="11">
        <v>114</v>
      </c>
      <c r="AK823" s="11" t="s">
        <v>48</v>
      </c>
      <c r="AL823" s="11">
        <v>5</v>
      </c>
      <c r="AM823" s="10">
        <v>3.7</v>
      </c>
      <c r="AN823" s="9">
        <v>297</v>
      </c>
      <c r="AO823" s="8" t="s">
        <v>1492</v>
      </c>
      <c r="AP823" s="8">
        <v>980</v>
      </c>
      <c r="AQ823" s="8">
        <v>22</v>
      </c>
      <c r="AR823" s="8">
        <v>25.6</v>
      </c>
      <c r="AS823" s="8">
        <v>23.1</v>
      </c>
      <c r="AT823" s="8">
        <v>38</v>
      </c>
      <c r="AU823" s="8">
        <v>10.6</v>
      </c>
      <c r="AV823" s="8">
        <v>68</v>
      </c>
      <c r="AW823" s="8">
        <v>56</v>
      </c>
      <c r="AX823" s="8">
        <v>383</v>
      </c>
      <c r="AY823" s="8">
        <v>94</v>
      </c>
      <c r="AZ823" s="8" t="s">
        <v>43</v>
      </c>
      <c r="BA823" s="7">
        <v>4</v>
      </c>
      <c r="BB823" s="9">
        <v>268</v>
      </c>
      <c r="BC823" s="8" t="s">
        <v>1491</v>
      </c>
      <c r="BD823" s="8">
        <v>1.8</v>
      </c>
      <c r="BE823" s="8">
        <v>1.9</v>
      </c>
      <c r="BF823" s="8">
        <v>2.8</v>
      </c>
      <c r="BG823" s="8">
        <v>4.9000000000000004</v>
      </c>
      <c r="BH823" s="8">
        <v>7.1</v>
      </c>
      <c r="BI823" s="8">
        <v>10.9</v>
      </c>
      <c r="BJ823" s="8">
        <v>13.7</v>
      </c>
      <c r="BK823" s="8">
        <v>12.3</v>
      </c>
      <c r="BL823" s="8">
        <v>8.8000000000000007</v>
      </c>
      <c r="BM823" s="8">
        <v>5.3</v>
      </c>
      <c r="BN823" s="8">
        <v>3.3</v>
      </c>
      <c r="BO823" s="8">
        <v>2.2000000000000002</v>
      </c>
      <c r="BP823" s="7">
        <v>6.3</v>
      </c>
    </row>
    <row r="824" spans="1:68" ht="14.25" customHeight="1">
      <c r="A824" s="12">
        <v>167</v>
      </c>
      <c r="B824" s="14">
        <v>355</v>
      </c>
      <c r="C824" s="13" t="s">
        <v>30</v>
      </c>
      <c r="D824" s="13" t="s">
        <v>86</v>
      </c>
      <c r="E824" s="13" t="s">
        <v>1488</v>
      </c>
      <c r="F824" s="11">
        <v>-21.2</v>
      </c>
      <c r="G824" s="11">
        <v>-16.3</v>
      </c>
      <c r="H824" s="11">
        <v>-7.7</v>
      </c>
      <c r="I824" s="11">
        <v>3.5</v>
      </c>
      <c r="J824" s="11">
        <v>11</v>
      </c>
      <c r="K824" s="11">
        <v>17.100000000000001</v>
      </c>
      <c r="L824" s="11">
        <v>21</v>
      </c>
      <c r="M824" s="11">
        <v>19.600000000000001</v>
      </c>
      <c r="N824" s="11">
        <v>13.1</v>
      </c>
      <c r="O824" s="11">
        <v>3.9</v>
      </c>
      <c r="P824" s="11">
        <v>-8.3000000000000007</v>
      </c>
      <c r="Q824" s="11">
        <v>-18.3</v>
      </c>
      <c r="R824" s="10">
        <v>1.4</v>
      </c>
      <c r="S824" s="12">
        <v>355</v>
      </c>
      <c r="T824" s="8" t="s">
        <v>1490</v>
      </c>
      <c r="U824" s="11">
        <v>-34</v>
      </c>
      <c r="V824" s="11">
        <v>-32</v>
      </c>
      <c r="W824" s="11">
        <v>-32</v>
      </c>
      <c r="X824" s="11">
        <v>-30</v>
      </c>
      <c r="Y824" s="11">
        <v>-26</v>
      </c>
      <c r="Z824" s="11">
        <v>-43</v>
      </c>
      <c r="AA824" s="11">
        <v>10.7</v>
      </c>
      <c r="AB824" s="11">
        <v>162</v>
      </c>
      <c r="AC824" s="11">
        <v>-12.9</v>
      </c>
      <c r="AD824" s="11">
        <v>213</v>
      </c>
      <c r="AE824" s="11">
        <v>-8.8000000000000007</v>
      </c>
      <c r="AF824" s="11">
        <v>228</v>
      </c>
      <c r="AG824" s="11">
        <v>-7.6</v>
      </c>
      <c r="AH824" s="11">
        <v>70</v>
      </c>
      <c r="AI824" s="11">
        <v>62</v>
      </c>
      <c r="AJ824" s="11">
        <v>57</v>
      </c>
      <c r="AK824" s="11" t="s">
        <v>75</v>
      </c>
      <c r="AL824" s="11">
        <v>7.9</v>
      </c>
      <c r="AM824" s="10">
        <v>4.5</v>
      </c>
      <c r="AN824" s="9">
        <v>355</v>
      </c>
      <c r="AO824" s="8" t="s">
        <v>1489</v>
      </c>
      <c r="AP824" s="8">
        <v>1000</v>
      </c>
      <c r="AQ824" s="8">
        <v>24.1</v>
      </c>
      <c r="AR824" s="8">
        <v>28.2</v>
      </c>
      <c r="AS824" s="8">
        <v>26.5</v>
      </c>
      <c r="AT824" s="8">
        <v>40</v>
      </c>
      <c r="AU824" s="8">
        <v>9.8000000000000007</v>
      </c>
      <c r="AV824" s="8">
        <v>82</v>
      </c>
      <c r="AW824" s="8">
        <v>67</v>
      </c>
      <c r="AX824" s="8">
        <v>619</v>
      </c>
      <c r="AY824" s="8">
        <v>163</v>
      </c>
      <c r="AZ824" s="8" t="s">
        <v>37</v>
      </c>
      <c r="BA824" s="7">
        <v>0</v>
      </c>
      <c r="BB824" s="9">
        <v>320</v>
      </c>
      <c r="BC824" s="8" t="s">
        <v>1488</v>
      </c>
      <c r="BD824" s="8">
        <v>0.9</v>
      </c>
      <c r="BE824" s="8">
        <v>1.2</v>
      </c>
      <c r="BF824" s="8">
        <v>2.2999999999999998</v>
      </c>
      <c r="BG824" s="8">
        <v>4.7</v>
      </c>
      <c r="BH824" s="8">
        <v>8.1999999999999993</v>
      </c>
      <c r="BI824" s="8">
        <v>15</v>
      </c>
      <c r="BJ824" s="8">
        <v>20.399999999999999</v>
      </c>
      <c r="BK824" s="8">
        <v>19.2</v>
      </c>
      <c r="BL824" s="8">
        <v>11.8</v>
      </c>
      <c r="BM824" s="8">
        <v>5.4</v>
      </c>
      <c r="BN824" s="8">
        <v>2.2999999999999998</v>
      </c>
      <c r="BO824" s="8">
        <v>1.1000000000000001</v>
      </c>
      <c r="BP824" s="7">
        <v>7.7</v>
      </c>
    </row>
    <row r="825" spans="1:68" ht="14.25" customHeight="1">
      <c r="A825" s="12">
        <v>168</v>
      </c>
      <c r="B825" s="14">
        <v>414</v>
      </c>
      <c r="C825" s="13" t="s">
        <v>30</v>
      </c>
      <c r="D825" s="13" t="s">
        <v>57</v>
      </c>
      <c r="E825" s="13" t="s">
        <v>1486</v>
      </c>
      <c r="F825" s="11">
        <v>-45.9</v>
      </c>
      <c r="G825" s="11">
        <v>-41.8</v>
      </c>
      <c r="H825" s="11">
        <v>-29.2</v>
      </c>
      <c r="I825" s="11">
        <v>-13.1</v>
      </c>
      <c r="J825" s="11">
        <v>2.2000000000000002</v>
      </c>
      <c r="K825" s="11">
        <v>12.5</v>
      </c>
      <c r="L825" s="11">
        <v>14.6</v>
      </c>
      <c r="M825" s="11">
        <v>10.5</v>
      </c>
      <c r="N825" s="11">
        <v>2.1</v>
      </c>
      <c r="O825" s="11">
        <v>-13.9</v>
      </c>
      <c r="P825" s="11">
        <v>-35.5</v>
      </c>
      <c r="Q825" s="11">
        <v>-43.2</v>
      </c>
      <c r="R825" s="10">
        <v>-15.1</v>
      </c>
      <c r="S825" s="12">
        <v>414</v>
      </c>
      <c r="T825" s="8" t="s">
        <v>1486</v>
      </c>
      <c r="U825" s="11">
        <v>-62</v>
      </c>
      <c r="V825" s="11">
        <v>-60</v>
      </c>
      <c r="W825" s="11">
        <v>-61</v>
      </c>
      <c r="X825" s="11">
        <v>-58</v>
      </c>
      <c r="Y825" s="11">
        <v>-51</v>
      </c>
      <c r="Z825" s="11">
        <v>-65</v>
      </c>
      <c r="AA825" s="11">
        <v>7</v>
      </c>
      <c r="AB825" s="11">
        <v>234</v>
      </c>
      <c r="AC825" s="11">
        <v>-28.5</v>
      </c>
      <c r="AD825" s="11">
        <v>281</v>
      </c>
      <c r="AE825" s="11">
        <v>-23</v>
      </c>
      <c r="AF825" s="11">
        <v>294</v>
      </c>
      <c r="AG825" s="11">
        <v>-21.6</v>
      </c>
      <c r="AH825" s="11">
        <v>74</v>
      </c>
      <c r="AI825" s="11">
        <v>74</v>
      </c>
      <c r="AJ825" s="11">
        <v>31</v>
      </c>
      <c r="AK825" s="11" t="s">
        <v>39</v>
      </c>
      <c r="AL825" s="11" t="s">
        <v>44</v>
      </c>
      <c r="AM825" s="10">
        <v>1.1000000000000001</v>
      </c>
      <c r="AN825" s="9">
        <v>414</v>
      </c>
      <c r="AO825" s="8" t="s">
        <v>1487</v>
      </c>
      <c r="AP825" s="8">
        <v>985</v>
      </c>
      <c r="AQ825" s="8">
        <v>19.899999999999999</v>
      </c>
      <c r="AR825" s="8">
        <v>24.2</v>
      </c>
      <c r="AS825" s="8">
        <v>22.3</v>
      </c>
      <c r="AT825" s="8">
        <v>36</v>
      </c>
      <c r="AU825" s="8">
        <v>15.7</v>
      </c>
      <c r="AV825" s="8">
        <v>64</v>
      </c>
      <c r="AW825" s="8">
        <v>50</v>
      </c>
      <c r="AX825" s="8">
        <v>158</v>
      </c>
      <c r="AY825" s="8">
        <v>50</v>
      </c>
      <c r="AZ825" s="8" t="s">
        <v>32</v>
      </c>
      <c r="BA825" s="7" t="s">
        <v>46</v>
      </c>
      <c r="BB825" s="9">
        <v>378</v>
      </c>
      <c r="BC825" s="8" t="s">
        <v>1486</v>
      </c>
      <c r="BD825" s="8">
        <v>0.1</v>
      </c>
      <c r="BE825" s="8">
        <v>0.2</v>
      </c>
      <c r="BF825" s="8">
        <v>0.5</v>
      </c>
      <c r="BG825" s="8">
        <v>1.6</v>
      </c>
      <c r="BH825" s="8">
        <v>4.0999999999999996</v>
      </c>
      <c r="BI825" s="8">
        <v>8.1</v>
      </c>
      <c r="BJ825" s="8">
        <v>10.3</v>
      </c>
      <c r="BK825" s="8">
        <v>8.9</v>
      </c>
      <c r="BL825" s="8">
        <v>5.0999999999999996</v>
      </c>
      <c r="BM825" s="8">
        <v>1.9</v>
      </c>
      <c r="BN825" s="8">
        <v>0.4</v>
      </c>
      <c r="BO825" s="8">
        <v>0.2</v>
      </c>
      <c r="BP825" s="7">
        <v>3.5</v>
      </c>
    </row>
    <row r="826" spans="1:68" ht="14.25" customHeight="1">
      <c r="A826" s="12">
        <v>169</v>
      </c>
      <c r="B826" s="14">
        <v>312</v>
      </c>
      <c r="C826" s="13" t="s">
        <v>30</v>
      </c>
      <c r="D826" s="13" t="s">
        <v>1369</v>
      </c>
      <c r="E826" s="13" t="s">
        <v>1483</v>
      </c>
      <c r="F826" s="11">
        <v>-13.9</v>
      </c>
      <c r="G826" s="11">
        <v>-13.2</v>
      </c>
      <c r="H826" s="11">
        <v>-6.6</v>
      </c>
      <c r="I826" s="11">
        <v>3.8</v>
      </c>
      <c r="J826" s="11">
        <v>12.4</v>
      </c>
      <c r="K826" s="11">
        <v>17.399999999999999</v>
      </c>
      <c r="L826" s="11">
        <v>19.5</v>
      </c>
      <c r="M826" s="11">
        <v>17.5</v>
      </c>
      <c r="N826" s="11">
        <v>11.2</v>
      </c>
      <c r="O826" s="11">
        <v>3.2</v>
      </c>
      <c r="P826" s="11">
        <v>-4.4000000000000004</v>
      </c>
      <c r="Q826" s="11">
        <v>-11.1</v>
      </c>
      <c r="R826" s="10">
        <v>3</v>
      </c>
      <c r="S826" s="12">
        <v>312</v>
      </c>
      <c r="T826" s="8" t="s">
        <v>1485</v>
      </c>
      <c r="U826" s="11">
        <v>-42</v>
      </c>
      <c r="V826" s="11">
        <v>-38</v>
      </c>
      <c r="W826" s="11">
        <v>-38</v>
      </c>
      <c r="X826" s="11">
        <v>-34</v>
      </c>
      <c r="Y826" s="11">
        <v>-19</v>
      </c>
      <c r="Z826" s="11">
        <v>-47</v>
      </c>
      <c r="AA826" s="11">
        <v>7.7</v>
      </c>
      <c r="AB826" s="11">
        <v>158</v>
      </c>
      <c r="AC826" s="11">
        <v>-9</v>
      </c>
      <c r="AD826" s="11">
        <v>215</v>
      </c>
      <c r="AE826" s="11">
        <v>-5.5</v>
      </c>
      <c r="AF826" s="11">
        <v>229</v>
      </c>
      <c r="AG826" s="11">
        <v>-4.5999999999999996</v>
      </c>
      <c r="AH826" s="11">
        <v>81</v>
      </c>
      <c r="AI826" s="11">
        <v>80</v>
      </c>
      <c r="AJ826" s="11">
        <v>173</v>
      </c>
      <c r="AK826" s="11" t="s">
        <v>39</v>
      </c>
      <c r="AL826" s="11">
        <v>4.7</v>
      </c>
      <c r="AM826" s="10">
        <v>3.6</v>
      </c>
      <c r="AN826" s="9">
        <v>312</v>
      </c>
      <c r="AO826" s="8" t="s">
        <v>1484</v>
      </c>
      <c r="AP826" s="8">
        <v>1000</v>
      </c>
      <c r="AQ826" s="8">
        <v>29.9</v>
      </c>
      <c r="AR826" s="8">
        <v>27</v>
      </c>
      <c r="AS826" s="8">
        <v>25.3</v>
      </c>
      <c r="AT826" s="8">
        <v>40</v>
      </c>
      <c r="AU826" s="8">
        <v>11.3</v>
      </c>
      <c r="AV826" s="8">
        <v>67</v>
      </c>
      <c r="AW826" s="8">
        <v>51</v>
      </c>
      <c r="AX826" s="8">
        <v>354</v>
      </c>
      <c r="AY826" s="8">
        <v>68</v>
      </c>
      <c r="AZ826" s="8" t="s">
        <v>54</v>
      </c>
      <c r="BA826" s="7">
        <v>3.7</v>
      </c>
      <c r="BB826" s="9">
        <v>280</v>
      </c>
      <c r="BC826" s="8" t="s">
        <v>1483</v>
      </c>
      <c r="BD826" s="8">
        <v>2.1</v>
      </c>
      <c r="BE826" s="8">
        <v>2.1</v>
      </c>
      <c r="BF826" s="8">
        <v>3.3</v>
      </c>
      <c r="BG826" s="8">
        <v>6.1</v>
      </c>
      <c r="BH826" s="8">
        <v>8.6999999999999993</v>
      </c>
      <c r="BI826" s="8">
        <v>12.2</v>
      </c>
      <c r="BJ826" s="8">
        <v>14.8</v>
      </c>
      <c r="BK826" s="8">
        <v>13.4</v>
      </c>
      <c r="BL826" s="8">
        <v>9.6999999999999993</v>
      </c>
      <c r="BM826" s="8">
        <v>6.3</v>
      </c>
      <c r="BN826" s="8">
        <v>4.0999999999999996</v>
      </c>
      <c r="BO826" s="8">
        <v>2.7</v>
      </c>
      <c r="BP826" s="7">
        <v>7.1</v>
      </c>
    </row>
    <row r="827" spans="1:68" ht="14.25" customHeight="1">
      <c r="A827" s="12">
        <v>170</v>
      </c>
      <c r="B827" s="14">
        <v>40</v>
      </c>
      <c r="C827" s="13" t="s">
        <v>30</v>
      </c>
      <c r="D827" s="13" t="s">
        <v>844</v>
      </c>
      <c r="E827" s="13" t="s">
        <v>1480</v>
      </c>
      <c r="F827" s="11">
        <v>-14.1</v>
      </c>
      <c r="G827" s="11">
        <v>-12.8</v>
      </c>
      <c r="H827" s="11">
        <v>-7.3</v>
      </c>
      <c r="I827" s="11">
        <v>-0.1</v>
      </c>
      <c r="J827" s="11">
        <v>6.6</v>
      </c>
      <c r="K827" s="11">
        <v>13.4</v>
      </c>
      <c r="L827" s="11">
        <v>16.100000000000001</v>
      </c>
      <c r="M827" s="11">
        <v>13.9</v>
      </c>
      <c r="N827" s="11">
        <v>8</v>
      </c>
      <c r="O827" s="11">
        <v>1.2</v>
      </c>
      <c r="P827" s="11">
        <v>-4.5</v>
      </c>
      <c r="Q827" s="11">
        <v>-10.199999999999999</v>
      </c>
      <c r="R827" s="10">
        <v>0.9</v>
      </c>
      <c r="S827" s="12">
        <v>40</v>
      </c>
      <c r="T827" s="8" t="s">
        <v>1482</v>
      </c>
      <c r="U827" s="11">
        <v>-39</v>
      </c>
      <c r="V827" s="11">
        <v>-38</v>
      </c>
      <c r="W827" s="11">
        <v>-35</v>
      </c>
      <c r="X827" s="11">
        <v>-33</v>
      </c>
      <c r="Y827" s="11">
        <v>-19</v>
      </c>
      <c r="Z827" s="11">
        <v>-48</v>
      </c>
      <c r="AA827" s="11">
        <v>7.6</v>
      </c>
      <c r="AB827" s="11">
        <v>175</v>
      </c>
      <c r="AC827" s="11">
        <v>-8.3000000000000007</v>
      </c>
      <c r="AD827" s="11">
        <v>249</v>
      </c>
      <c r="AE827" s="11">
        <v>-4.7</v>
      </c>
      <c r="AF827" s="11">
        <v>268</v>
      </c>
      <c r="AG827" s="11">
        <v>-3.7</v>
      </c>
      <c r="AH827" s="11">
        <v>85</v>
      </c>
      <c r="AI827" s="11">
        <v>85</v>
      </c>
      <c r="AJ827" s="11">
        <v>150</v>
      </c>
      <c r="AK827" s="11" t="s">
        <v>27</v>
      </c>
      <c r="AL827" s="11" t="s">
        <v>44</v>
      </c>
      <c r="AM827" s="10">
        <v>3.9</v>
      </c>
      <c r="AN827" s="9">
        <v>40</v>
      </c>
      <c r="AO827" s="8" t="s">
        <v>1481</v>
      </c>
      <c r="AP827" s="8">
        <v>1010</v>
      </c>
      <c r="AQ827" s="8">
        <v>19.399999999999999</v>
      </c>
      <c r="AR827" s="8">
        <v>23.7</v>
      </c>
      <c r="AS827" s="8">
        <v>21.8</v>
      </c>
      <c r="AT827" s="8">
        <v>35</v>
      </c>
      <c r="AU827" s="8">
        <v>10.7</v>
      </c>
      <c r="AV827" s="8">
        <v>72</v>
      </c>
      <c r="AW827" s="8">
        <v>58</v>
      </c>
      <c r="AX827" s="8">
        <v>366</v>
      </c>
      <c r="AY827" s="8">
        <v>53</v>
      </c>
      <c r="AZ827" s="8" t="s">
        <v>32</v>
      </c>
      <c r="BA827" s="7" t="s">
        <v>46</v>
      </c>
      <c r="BB827" s="9">
        <v>26</v>
      </c>
      <c r="BC827" s="8" t="s">
        <v>1480</v>
      </c>
      <c r="BD827" s="8">
        <v>2.2999999999999998</v>
      </c>
      <c r="BE827" s="8">
        <v>2.2999999999999998</v>
      </c>
      <c r="BF827" s="8">
        <v>3.2</v>
      </c>
      <c r="BG827" s="8">
        <v>4.5999999999999996</v>
      </c>
      <c r="BH827" s="8">
        <v>6.7</v>
      </c>
      <c r="BI827" s="8">
        <v>10.4</v>
      </c>
      <c r="BJ827" s="8">
        <v>13.2</v>
      </c>
      <c r="BK827" s="8">
        <v>12.6</v>
      </c>
      <c r="BL827" s="8">
        <v>9.1999999999999993</v>
      </c>
      <c r="BM827" s="8">
        <v>6.1</v>
      </c>
      <c r="BN827" s="8">
        <v>4.2</v>
      </c>
      <c r="BO827" s="8">
        <v>3</v>
      </c>
      <c r="BP827" s="7">
        <v>6.5</v>
      </c>
    </row>
    <row r="828" spans="1:68" ht="14.25" customHeight="1">
      <c r="A828" s="12">
        <v>171</v>
      </c>
      <c r="B828" s="14">
        <v>180</v>
      </c>
      <c r="C828" s="13" t="s">
        <v>30</v>
      </c>
      <c r="D828" s="13" t="s">
        <v>29</v>
      </c>
      <c r="E828" s="13" t="s">
        <v>1477</v>
      </c>
      <c r="F828" s="11">
        <v>-22</v>
      </c>
      <c r="G828" s="11">
        <v>-19.5</v>
      </c>
      <c r="H828" s="11">
        <v>-10.7</v>
      </c>
      <c r="I828" s="11">
        <v>-0.9</v>
      </c>
      <c r="J828" s="11">
        <v>7.1</v>
      </c>
      <c r="K828" s="11">
        <v>15.1</v>
      </c>
      <c r="L828" s="11">
        <v>18.5</v>
      </c>
      <c r="M828" s="11">
        <v>14.9</v>
      </c>
      <c r="N828" s="11">
        <v>8.1999999999999993</v>
      </c>
      <c r="O828" s="11">
        <v>-0.5</v>
      </c>
      <c r="P828" s="11">
        <v>-12.3</v>
      </c>
      <c r="Q828" s="11">
        <v>-20.7</v>
      </c>
      <c r="R828" s="10">
        <v>-1.9</v>
      </c>
      <c r="S828" s="12">
        <v>180</v>
      </c>
      <c r="T828" s="8" t="s">
        <v>1479</v>
      </c>
      <c r="U828" s="11">
        <v>-53</v>
      </c>
      <c r="V828" s="11">
        <v>-49</v>
      </c>
      <c r="W828" s="11">
        <v>-50</v>
      </c>
      <c r="X828" s="11">
        <v>-46</v>
      </c>
      <c r="Y828" s="11">
        <v>-27</v>
      </c>
      <c r="Z828" s="11">
        <v>-59</v>
      </c>
      <c r="AA828" s="11">
        <v>11.5</v>
      </c>
      <c r="AB828" s="11">
        <v>187</v>
      </c>
      <c r="AC828" s="11">
        <v>-13.9</v>
      </c>
      <c r="AD828" s="11">
        <v>245</v>
      </c>
      <c r="AE828" s="11">
        <v>-9.6</v>
      </c>
      <c r="AF828" s="11">
        <v>262</v>
      </c>
      <c r="AG828" s="11">
        <v>-8.4</v>
      </c>
      <c r="AH828" s="11">
        <v>79</v>
      </c>
      <c r="AI828" s="11">
        <v>78</v>
      </c>
      <c r="AJ828" s="11">
        <v>141</v>
      </c>
      <c r="AK828" s="11" t="s">
        <v>27</v>
      </c>
      <c r="AL828" s="11">
        <v>3.7</v>
      </c>
      <c r="AM828" s="10">
        <v>2.8</v>
      </c>
      <c r="AN828" s="9">
        <v>180</v>
      </c>
      <c r="AO828" s="8" t="s">
        <v>1478</v>
      </c>
      <c r="AP828" s="8">
        <v>1000</v>
      </c>
      <c r="AQ828" s="8">
        <v>21.8</v>
      </c>
      <c r="AR828" s="8">
        <v>26</v>
      </c>
      <c r="AS828" s="8">
        <v>24.5</v>
      </c>
      <c r="AT828" s="8">
        <v>37</v>
      </c>
      <c r="AU828" s="8">
        <v>12.9</v>
      </c>
      <c r="AV828" s="8">
        <v>73</v>
      </c>
      <c r="AW828" s="8">
        <v>55</v>
      </c>
      <c r="AX828" s="8">
        <v>360</v>
      </c>
      <c r="AY828" s="8">
        <v>74</v>
      </c>
      <c r="AZ828" s="8" t="s">
        <v>54</v>
      </c>
      <c r="BA828" s="7">
        <v>0</v>
      </c>
      <c r="BB828" s="9">
        <v>158</v>
      </c>
      <c r="BC828" s="8" t="s">
        <v>1477</v>
      </c>
      <c r="BD828" s="8">
        <v>1.2</v>
      </c>
      <c r="BE828" s="8">
        <v>1.2</v>
      </c>
      <c r="BF828" s="8">
        <v>2.1</v>
      </c>
      <c r="BG828" s="8">
        <v>3.9</v>
      </c>
      <c r="BH828" s="8">
        <v>6.3</v>
      </c>
      <c r="BI828" s="8">
        <v>11.3</v>
      </c>
      <c r="BJ828" s="8">
        <v>15.2</v>
      </c>
      <c r="BK828" s="8">
        <v>13</v>
      </c>
      <c r="BL828" s="8">
        <v>8.6999999999999993</v>
      </c>
      <c r="BM828" s="8">
        <v>4.9000000000000004</v>
      </c>
      <c r="BN828" s="8">
        <v>2.4</v>
      </c>
      <c r="BO828" s="8">
        <v>1.4</v>
      </c>
      <c r="BP828" s="7">
        <v>6</v>
      </c>
    </row>
    <row r="829" spans="1:68" ht="14.25" customHeight="1">
      <c r="A829" s="12">
        <v>172</v>
      </c>
      <c r="B829" s="14">
        <v>88</v>
      </c>
      <c r="C829" s="13" t="s">
        <v>30</v>
      </c>
      <c r="D829" s="13" t="s">
        <v>300</v>
      </c>
      <c r="E829" s="13" t="s">
        <v>1474</v>
      </c>
      <c r="F829" s="11">
        <v>-31</v>
      </c>
      <c r="G829" s="11">
        <v>-28.2</v>
      </c>
      <c r="H829" s="11">
        <v>-17.2</v>
      </c>
      <c r="I829" s="11">
        <v>-5</v>
      </c>
      <c r="J829" s="11">
        <v>4.7</v>
      </c>
      <c r="K829" s="11">
        <v>14</v>
      </c>
      <c r="L829" s="11">
        <v>17.100000000000001</v>
      </c>
      <c r="M829" s="11">
        <v>13</v>
      </c>
      <c r="N829" s="11">
        <v>5.3</v>
      </c>
      <c r="O829" s="11">
        <v>-5.6</v>
      </c>
      <c r="P829" s="11">
        <v>-21.9</v>
      </c>
      <c r="Q829" s="11">
        <v>-30.1</v>
      </c>
      <c r="R829" s="10">
        <v>-7.1</v>
      </c>
      <c r="S829" s="12">
        <v>88</v>
      </c>
      <c r="T829" s="8" t="s">
        <v>1476</v>
      </c>
      <c r="U829" s="11">
        <v>-57</v>
      </c>
      <c r="V829" s="11">
        <v>-54</v>
      </c>
      <c r="W829" s="11">
        <v>-53</v>
      </c>
      <c r="X829" s="11">
        <v>-51</v>
      </c>
      <c r="Y829" s="11">
        <v>-36</v>
      </c>
      <c r="Z829" s="11">
        <v>-61</v>
      </c>
      <c r="AA829" s="11">
        <v>11.6</v>
      </c>
      <c r="AB829" s="11">
        <v>213</v>
      </c>
      <c r="AC829" s="11">
        <v>-19.3</v>
      </c>
      <c r="AD829" s="11">
        <v>264</v>
      </c>
      <c r="AE829" s="11">
        <v>-14.8</v>
      </c>
      <c r="AF829" s="11">
        <v>278</v>
      </c>
      <c r="AG829" s="11">
        <v>-13.6</v>
      </c>
      <c r="AH829" s="11">
        <v>79</v>
      </c>
      <c r="AI829" s="11">
        <v>79</v>
      </c>
      <c r="AJ829" s="11">
        <v>101</v>
      </c>
      <c r="AK829" s="11" t="s">
        <v>39</v>
      </c>
      <c r="AL829" s="11">
        <v>3.1</v>
      </c>
      <c r="AM829" s="10">
        <v>2</v>
      </c>
      <c r="AN829" s="9">
        <v>88</v>
      </c>
      <c r="AO829" s="8" t="s">
        <v>1475</v>
      </c>
      <c r="AP829" s="8">
        <v>975</v>
      </c>
      <c r="AQ829" s="8">
        <v>22</v>
      </c>
      <c r="AR829" s="8">
        <v>25.8</v>
      </c>
      <c r="AS829" s="8">
        <v>24.3</v>
      </c>
      <c r="AT829" s="8">
        <v>35</v>
      </c>
      <c r="AU829" s="8">
        <v>15</v>
      </c>
      <c r="AV829" s="8">
        <v>66</v>
      </c>
      <c r="AW829" s="8">
        <v>50</v>
      </c>
      <c r="AX829" s="8">
        <v>300</v>
      </c>
      <c r="AY829" s="8">
        <v>71</v>
      </c>
      <c r="AZ829" s="8" t="s">
        <v>82</v>
      </c>
      <c r="BA829" s="7">
        <v>0</v>
      </c>
      <c r="BB829" s="9">
        <v>72</v>
      </c>
      <c r="BC829" s="8" t="s">
        <v>1474</v>
      </c>
      <c r="BD829" s="8">
        <v>0.6</v>
      </c>
      <c r="BE829" s="8">
        <v>0.7</v>
      </c>
      <c r="BF829" s="8">
        <v>1.3</v>
      </c>
      <c r="BG829" s="8">
        <v>2.6</v>
      </c>
      <c r="BH829" s="8">
        <v>4.7</v>
      </c>
      <c r="BI829" s="8">
        <v>9.1999999999999993</v>
      </c>
      <c r="BJ829" s="8">
        <v>12.8</v>
      </c>
      <c r="BK829" s="8">
        <v>10.9</v>
      </c>
      <c r="BL829" s="8">
        <v>6.8</v>
      </c>
      <c r="BM829" s="8">
        <v>3.5</v>
      </c>
      <c r="BN829" s="8">
        <v>1.3</v>
      </c>
      <c r="BO829" s="8">
        <v>0.7</v>
      </c>
      <c r="BP829" s="7">
        <v>4.5999999999999996</v>
      </c>
    </row>
    <row r="830" spans="1:68" ht="14.25" customHeight="1">
      <c r="A830" s="12">
        <v>173</v>
      </c>
      <c r="B830" s="14">
        <v>461</v>
      </c>
      <c r="C830" s="13" t="s">
        <v>555</v>
      </c>
      <c r="D830" s="13" t="s">
        <v>555</v>
      </c>
      <c r="E830" s="13" t="s">
        <v>1473</v>
      </c>
      <c r="F830" s="11">
        <v>-3.4</v>
      </c>
      <c r="G830" s="11">
        <v>-0.9</v>
      </c>
      <c r="H830" s="11">
        <v>5.3</v>
      </c>
      <c r="I830" s="11">
        <v>12.4</v>
      </c>
      <c r="J830" s="11">
        <v>17.399999999999999</v>
      </c>
      <c r="K830" s="11">
        <v>21.6</v>
      </c>
      <c r="L830" s="11">
        <v>25.5</v>
      </c>
      <c r="M830" s="11">
        <v>25.2</v>
      </c>
      <c r="N830" s="11">
        <v>20.5</v>
      </c>
      <c r="O830" s="11">
        <v>13.5</v>
      </c>
      <c r="P830" s="11">
        <v>6.5</v>
      </c>
      <c r="Q830" s="11">
        <v>-0.2</v>
      </c>
      <c r="R830" s="10">
        <v>12</v>
      </c>
      <c r="S830" s="12">
        <v>461</v>
      </c>
      <c r="T830" s="8" t="s">
        <v>1471</v>
      </c>
      <c r="U830" s="11">
        <v>-21</v>
      </c>
      <c r="V830" s="11">
        <v>-19</v>
      </c>
      <c r="W830" s="11">
        <v>-19</v>
      </c>
      <c r="X830" s="11">
        <v>-17</v>
      </c>
      <c r="Y830" s="11" t="s">
        <v>49</v>
      </c>
      <c r="Z830" s="11">
        <v>-27</v>
      </c>
      <c r="AA830" s="11">
        <v>8.3000000000000007</v>
      </c>
      <c r="AB830" s="11">
        <v>70</v>
      </c>
      <c r="AC830" s="11">
        <v>-2.4</v>
      </c>
      <c r="AD830" s="11">
        <v>140</v>
      </c>
      <c r="AE830" s="11">
        <v>1</v>
      </c>
      <c r="AF830" s="11">
        <v>159</v>
      </c>
      <c r="AG830" s="11">
        <v>1.8</v>
      </c>
      <c r="AH830" s="11">
        <v>78</v>
      </c>
      <c r="AI830" s="11">
        <v>67</v>
      </c>
      <c r="AJ830" s="11">
        <v>132</v>
      </c>
      <c r="AK830" s="11" t="s">
        <v>39</v>
      </c>
      <c r="AL830" s="11">
        <v>3.4</v>
      </c>
      <c r="AM830" s="10" t="s">
        <v>44</v>
      </c>
      <c r="AN830" s="9">
        <v>461</v>
      </c>
      <c r="AO830" s="8" t="s">
        <v>1472</v>
      </c>
      <c r="AP830" s="8">
        <v>910</v>
      </c>
      <c r="AQ830" s="8" t="s">
        <v>45</v>
      </c>
      <c r="AR830" s="8" t="s">
        <v>44</v>
      </c>
      <c r="AS830" s="8">
        <v>33.200000000000003</v>
      </c>
      <c r="AT830" s="8">
        <v>42</v>
      </c>
      <c r="AU830" s="8" t="s">
        <v>46</v>
      </c>
      <c r="AV830" s="8">
        <v>45</v>
      </c>
      <c r="AW830" s="8" t="s">
        <v>44</v>
      </c>
      <c r="AX830" s="8">
        <v>184</v>
      </c>
      <c r="AY830" s="8" t="s">
        <v>64</v>
      </c>
      <c r="AZ830" s="8" t="s">
        <v>37</v>
      </c>
      <c r="BA830" s="7">
        <v>0</v>
      </c>
      <c r="BB830" s="9"/>
      <c r="BC830" s="8" t="s">
        <v>1471</v>
      </c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7"/>
    </row>
    <row r="831" spans="1:68" ht="14.25" customHeight="1">
      <c r="A831" s="12">
        <v>174</v>
      </c>
      <c r="B831" s="14">
        <v>22</v>
      </c>
      <c r="C831" s="13" t="s">
        <v>30</v>
      </c>
      <c r="D831" s="13" t="s">
        <v>99</v>
      </c>
      <c r="E831" s="13" t="s">
        <v>1468</v>
      </c>
      <c r="F831" s="11">
        <v>-27.6</v>
      </c>
      <c r="G831" s="11">
        <v>-22</v>
      </c>
      <c r="H831" s="11">
        <v>-13</v>
      </c>
      <c r="I831" s="11">
        <v>-1.2</v>
      </c>
      <c r="J831" s="11">
        <v>7.5</v>
      </c>
      <c r="K831" s="11">
        <v>15</v>
      </c>
      <c r="L831" s="11">
        <v>18.3</v>
      </c>
      <c r="M831" s="11">
        <v>15</v>
      </c>
      <c r="N831" s="11">
        <v>7.9</v>
      </c>
      <c r="O831" s="11">
        <v>-3.4</v>
      </c>
      <c r="P831" s="11">
        <v>-17.600000000000001</v>
      </c>
      <c r="Q831" s="11">
        <v>-26.3</v>
      </c>
      <c r="R831" s="10">
        <v>-4</v>
      </c>
      <c r="S831" s="12">
        <v>22</v>
      </c>
      <c r="T831" s="8" t="s">
        <v>1470</v>
      </c>
      <c r="U831" s="11">
        <v>-43</v>
      </c>
      <c r="V831" s="11">
        <v>-42</v>
      </c>
      <c r="W831" s="11">
        <v>-40</v>
      </c>
      <c r="X831" s="11">
        <v>-38</v>
      </c>
      <c r="Y831" s="11">
        <v>-33</v>
      </c>
      <c r="Z831" s="11">
        <v>-51</v>
      </c>
      <c r="AA831" s="11">
        <v>15.6</v>
      </c>
      <c r="AB831" s="11">
        <v>195</v>
      </c>
      <c r="AC831" s="11">
        <v>-17</v>
      </c>
      <c r="AD831" s="11">
        <v>245</v>
      </c>
      <c r="AE831" s="11">
        <v>-12.7</v>
      </c>
      <c r="AF831" s="11">
        <v>262</v>
      </c>
      <c r="AG831" s="11">
        <v>-11.3</v>
      </c>
      <c r="AH831" s="11">
        <v>79</v>
      </c>
      <c r="AI831" s="11">
        <v>71</v>
      </c>
      <c r="AJ831" s="11">
        <v>47</v>
      </c>
      <c r="AK831" s="11" t="s">
        <v>56</v>
      </c>
      <c r="AL831" s="11" t="s">
        <v>44</v>
      </c>
      <c r="AM831" s="10">
        <v>2</v>
      </c>
      <c r="AN831" s="9">
        <v>22</v>
      </c>
      <c r="AO831" s="8" t="s">
        <v>1469</v>
      </c>
      <c r="AP831" s="8">
        <v>950</v>
      </c>
      <c r="AQ831" s="8">
        <v>23.1</v>
      </c>
      <c r="AR831" s="8">
        <v>27.2</v>
      </c>
      <c r="AS831" s="8">
        <v>25.5</v>
      </c>
      <c r="AT831" s="8">
        <v>37</v>
      </c>
      <c r="AU831" s="8">
        <v>14.7</v>
      </c>
      <c r="AV831" s="8">
        <v>73</v>
      </c>
      <c r="AW831" s="8">
        <v>55</v>
      </c>
      <c r="AX831" s="8">
        <v>429</v>
      </c>
      <c r="AY831" s="8">
        <v>81</v>
      </c>
      <c r="AZ831" s="8" t="s">
        <v>32</v>
      </c>
      <c r="BA831" s="7" t="s">
        <v>46</v>
      </c>
      <c r="BB831" s="9"/>
      <c r="BC831" s="8" t="s">
        <v>1468</v>
      </c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7"/>
    </row>
    <row r="832" spans="1:68" ht="14.25" customHeight="1">
      <c r="A832" s="12">
        <v>175</v>
      </c>
      <c r="B832" s="14">
        <v>181</v>
      </c>
      <c r="C832" s="13" t="s">
        <v>30</v>
      </c>
      <c r="D832" s="13" t="s">
        <v>29</v>
      </c>
      <c r="E832" s="13" t="s">
        <v>1465</v>
      </c>
      <c r="F832" s="11">
        <v>-36</v>
      </c>
      <c r="G832" s="11">
        <v>-34.1</v>
      </c>
      <c r="H832" s="11">
        <v>-24.7</v>
      </c>
      <c r="I832" s="11">
        <v>-13.8</v>
      </c>
      <c r="J832" s="11">
        <v>-3.3</v>
      </c>
      <c r="K832" s="11">
        <v>7.4</v>
      </c>
      <c r="L832" s="11">
        <v>13.5</v>
      </c>
      <c r="M832" s="11">
        <v>10.199999999999999</v>
      </c>
      <c r="N832" s="11">
        <v>2.6</v>
      </c>
      <c r="O832" s="11">
        <v>-11.3</v>
      </c>
      <c r="P832" s="11">
        <v>-27.9</v>
      </c>
      <c r="Q832" s="11">
        <v>-33.1</v>
      </c>
      <c r="R832" s="10">
        <v>-12.5</v>
      </c>
      <c r="S832" s="12">
        <v>181</v>
      </c>
      <c r="T832" s="8" t="s">
        <v>1467</v>
      </c>
      <c r="U832" s="11">
        <v>-58</v>
      </c>
      <c r="V832" s="11">
        <v>-56</v>
      </c>
      <c r="W832" s="11">
        <v>-56</v>
      </c>
      <c r="X832" s="11">
        <v>-55</v>
      </c>
      <c r="Y832" s="11">
        <v>-41</v>
      </c>
      <c r="Z832" s="11">
        <v>-60</v>
      </c>
      <c r="AA832" s="11">
        <v>13.3</v>
      </c>
      <c r="AB832" s="11">
        <v>246</v>
      </c>
      <c r="AC832" s="11">
        <v>-22.3</v>
      </c>
      <c r="AD832" s="11">
        <v>298</v>
      </c>
      <c r="AE832" s="11">
        <v>-17.7</v>
      </c>
      <c r="AF832" s="11">
        <v>316</v>
      </c>
      <c r="AG832" s="11">
        <v>-16.2</v>
      </c>
      <c r="AH832" s="11">
        <v>76</v>
      </c>
      <c r="AI832" s="11">
        <v>76</v>
      </c>
      <c r="AJ832" s="11">
        <v>52</v>
      </c>
      <c r="AK832" s="11" t="s">
        <v>75</v>
      </c>
      <c r="AL832" s="11">
        <v>2.5</v>
      </c>
      <c r="AM832" s="10">
        <v>2.8</v>
      </c>
      <c r="AN832" s="9">
        <v>181</v>
      </c>
      <c r="AO832" s="8" t="s">
        <v>1466</v>
      </c>
      <c r="AP832" s="8">
        <v>980</v>
      </c>
      <c r="AQ832" s="8">
        <v>16.399999999999999</v>
      </c>
      <c r="AR832" s="8">
        <v>20.9</v>
      </c>
      <c r="AS832" s="8">
        <v>18.8</v>
      </c>
      <c r="AT832" s="8">
        <v>34</v>
      </c>
      <c r="AU832" s="8">
        <v>10.199999999999999</v>
      </c>
      <c r="AV832" s="8">
        <v>71</v>
      </c>
      <c r="AW832" s="8">
        <v>60</v>
      </c>
      <c r="AX832" s="8">
        <v>231</v>
      </c>
      <c r="AY832" s="8">
        <v>58</v>
      </c>
      <c r="AZ832" s="8" t="s">
        <v>32</v>
      </c>
      <c r="BA832" s="7">
        <v>0</v>
      </c>
      <c r="BB832" s="9">
        <v>159</v>
      </c>
      <c r="BC832" s="8" t="s">
        <v>1465</v>
      </c>
      <c r="BD832" s="8">
        <v>0.4</v>
      </c>
      <c r="BE832" s="8">
        <v>0.4</v>
      </c>
      <c r="BF832" s="8">
        <v>0.8</v>
      </c>
      <c r="BG832" s="8">
        <v>1.7</v>
      </c>
      <c r="BH832" s="8">
        <v>3.5</v>
      </c>
      <c r="BI832" s="8">
        <v>7.1</v>
      </c>
      <c r="BJ832" s="8">
        <v>11.2</v>
      </c>
      <c r="BK832" s="8">
        <v>9.6999999999999993</v>
      </c>
      <c r="BL832" s="8">
        <v>6</v>
      </c>
      <c r="BM832" s="8">
        <v>2.5</v>
      </c>
      <c r="BN832" s="8">
        <v>0.7</v>
      </c>
      <c r="BO832" s="8">
        <v>0.5</v>
      </c>
      <c r="BP832" s="7">
        <v>3.7</v>
      </c>
    </row>
    <row r="833" spans="1:68" ht="14.25" customHeight="1">
      <c r="A833" s="12">
        <v>176</v>
      </c>
      <c r="B833" s="14">
        <v>462</v>
      </c>
      <c r="C833" s="13" t="s">
        <v>555</v>
      </c>
      <c r="D833" s="13" t="s">
        <v>555</v>
      </c>
      <c r="E833" s="13" t="s">
        <v>1464</v>
      </c>
      <c r="F833" s="11">
        <v>-3.8</v>
      </c>
      <c r="G833" s="11">
        <v>-1.8</v>
      </c>
      <c r="H833" s="11">
        <v>3.6</v>
      </c>
      <c r="I833" s="11">
        <v>10.3</v>
      </c>
      <c r="J833" s="11">
        <v>15.3</v>
      </c>
      <c r="K833" s="11">
        <v>19.8</v>
      </c>
      <c r="L833" s="11">
        <v>24.1</v>
      </c>
      <c r="M833" s="11">
        <v>24.2</v>
      </c>
      <c r="N833" s="11">
        <v>20.100000000000001</v>
      </c>
      <c r="O833" s="11">
        <v>12.9</v>
      </c>
      <c r="P833" s="11">
        <v>6</v>
      </c>
      <c r="Q833" s="11">
        <v>-0.8</v>
      </c>
      <c r="R833" s="10">
        <v>10.8</v>
      </c>
      <c r="S833" s="12">
        <v>462</v>
      </c>
      <c r="T833" s="8" t="s">
        <v>1462</v>
      </c>
      <c r="U833" s="11">
        <v>-23</v>
      </c>
      <c r="V833" s="11">
        <v>-19</v>
      </c>
      <c r="W833" s="11">
        <v>-19</v>
      </c>
      <c r="X833" s="11">
        <v>-16</v>
      </c>
      <c r="Y833" s="11" t="s">
        <v>49</v>
      </c>
      <c r="Z833" s="11">
        <v>-26</v>
      </c>
      <c r="AA833" s="11" t="s">
        <v>49</v>
      </c>
      <c r="AB833" s="11">
        <v>79</v>
      </c>
      <c r="AC833" s="11">
        <v>-2.6</v>
      </c>
      <c r="AD833" s="11">
        <v>148</v>
      </c>
      <c r="AE833" s="11">
        <v>0.5</v>
      </c>
      <c r="AF833" s="11">
        <v>168</v>
      </c>
      <c r="AG833" s="11">
        <v>1.4</v>
      </c>
      <c r="AH833" s="11">
        <v>73</v>
      </c>
      <c r="AI833" s="11">
        <v>62</v>
      </c>
      <c r="AJ833" s="11">
        <v>175</v>
      </c>
      <c r="AK833" s="11" t="s">
        <v>39</v>
      </c>
      <c r="AL833" s="11" t="s">
        <v>44</v>
      </c>
      <c r="AM833" s="10" t="s">
        <v>44</v>
      </c>
      <c r="AN833" s="9">
        <v>462</v>
      </c>
      <c r="AO833" s="8" t="s">
        <v>1463</v>
      </c>
      <c r="AP833" s="8">
        <v>870</v>
      </c>
      <c r="AQ833" s="8" t="s">
        <v>45</v>
      </c>
      <c r="AR833" s="8" t="s">
        <v>44</v>
      </c>
      <c r="AS833" s="8">
        <v>31.3</v>
      </c>
      <c r="AT833" s="8">
        <v>39</v>
      </c>
      <c r="AU833" s="8" t="s">
        <v>46</v>
      </c>
      <c r="AV833" s="8">
        <v>45</v>
      </c>
      <c r="AW833" s="8">
        <v>30</v>
      </c>
      <c r="AX833" s="8">
        <v>251</v>
      </c>
      <c r="AY833" s="8">
        <v>32</v>
      </c>
      <c r="AZ833" s="8" t="s">
        <v>25</v>
      </c>
      <c r="BA833" s="7">
        <v>0</v>
      </c>
      <c r="BB833" s="9"/>
      <c r="BC833" s="8" t="s">
        <v>1462</v>
      </c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7"/>
    </row>
    <row r="834" spans="1:68" ht="14.25" customHeight="1">
      <c r="A834" s="12">
        <v>177</v>
      </c>
      <c r="B834" s="14">
        <v>533</v>
      </c>
      <c r="C834" s="13" t="s">
        <v>121</v>
      </c>
      <c r="D834" s="13" t="s">
        <v>501</v>
      </c>
      <c r="E834" s="13" t="s">
        <v>1460</v>
      </c>
      <c r="F834" s="11">
        <v>-9.1</v>
      </c>
      <c r="G834" s="11">
        <v>-6.1</v>
      </c>
      <c r="H834" s="11">
        <v>3.2</v>
      </c>
      <c r="I834" s="11">
        <v>12.6</v>
      </c>
      <c r="J834" s="11">
        <v>18.100000000000001</v>
      </c>
      <c r="K834" s="11">
        <v>22.1</v>
      </c>
      <c r="L834" s="11">
        <v>24</v>
      </c>
      <c r="M834" s="11">
        <v>22.7</v>
      </c>
      <c r="N834" s="11">
        <v>17.2</v>
      </c>
      <c r="O834" s="11">
        <v>9.8000000000000007</v>
      </c>
      <c r="P834" s="11">
        <v>0.7</v>
      </c>
      <c r="Q834" s="11">
        <v>-6</v>
      </c>
      <c r="R834" s="10">
        <v>9.1</v>
      </c>
      <c r="S834" s="12">
        <v>533</v>
      </c>
      <c r="T834" s="8" t="s">
        <v>1460</v>
      </c>
      <c r="U834" s="11">
        <v>-32</v>
      </c>
      <c r="V834" s="11">
        <v>-30</v>
      </c>
      <c r="W834" s="11">
        <v>-27</v>
      </c>
      <c r="X834" s="11">
        <v>-23</v>
      </c>
      <c r="Y834" s="11">
        <v>-11</v>
      </c>
      <c r="Z834" s="11" t="s">
        <v>44</v>
      </c>
      <c r="AA834" s="11">
        <v>12.6</v>
      </c>
      <c r="AB834" s="11">
        <v>111</v>
      </c>
      <c r="AC834" s="11">
        <v>-6</v>
      </c>
      <c r="AD834" s="11">
        <v>159</v>
      </c>
      <c r="AE834" s="11">
        <v>-2.9</v>
      </c>
      <c r="AF834" s="11">
        <v>174</v>
      </c>
      <c r="AG834" s="11">
        <v>-1.9</v>
      </c>
      <c r="AH834" s="11" t="s">
        <v>49</v>
      </c>
      <c r="AI834" s="11">
        <v>74</v>
      </c>
      <c r="AJ834" s="11">
        <v>63</v>
      </c>
      <c r="AK834" s="11" t="s">
        <v>44</v>
      </c>
      <c r="AL834" s="11" t="s">
        <v>44</v>
      </c>
      <c r="AM834" s="10" t="s">
        <v>44</v>
      </c>
      <c r="AN834" s="9">
        <v>533</v>
      </c>
      <c r="AO834" s="8" t="s">
        <v>1461</v>
      </c>
      <c r="AP834" s="8">
        <v>935</v>
      </c>
      <c r="AQ834" s="8">
        <v>24.7</v>
      </c>
      <c r="AR834" s="8">
        <v>31.5</v>
      </c>
      <c r="AS834" s="8">
        <v>31.7</v>
      </c>
      <c r="AT834" s="8">
        <v>42</v>
      </c>
      <c r="AU834" s="8">
        <v>15.7</v>
      </c>
      <c r="AV834" s="8" t="s">
        <v>45</v>
      </c>
      <c r="AW834" s="8">
        <v>35</v>
      </c>
      <c r="AX834" s="8">
        <v>116</v>
      </c>
      <c r="AY834" s="8" t="s">
        <v>64</v>
      </c>
      <c r="AZ834" s="8" t="s">
        <v>114</v>
      </c>
      <c r="BA834" s="7" t="s">
        <v>46</v>
      </c>
      <c r="BB834" s="9"/>
      <c r="BC834" s="8" t="s">
        <v>1460</v>
      </c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7"/>
    </row>
    <row r="835" spans="1:68" ht="14.25" customHeight="1">
      <c r="A835" s="12">
        <v>178</v>
      </c>
      <c r="B835" s="14">
        <v>89</v>
      </c>
      <c r="C835" s="13" t="s">
        <v>30</v>
      </c>
      <c r="D835" s="13" t="s">
        <v>300</v>
      </c>
      <c r="E835" s="13" t="s">
        <v>1457</v>
      </c>
      <c r="F835" s="11">
        <v>-28.4</v>
      </c>
      <c r="G835" s="11">
        <v>-25.1</v>
      </c>
      <c r="H835" s="11">
        <v>-13.8</v>
      </c>
      <c r="I835" s="11">
        <v>-1</v>
      </c>
      <c r="J835" s="11">
        <v>7.2</v>
      </c>
      <c r="K835" s="11">
        <v>14.6</v>
      </c>
      <c r="L835" s="11">
        <v>17.399999999999999</v>
      </c>
      <c r="M835" s="11">
        <v>14.1</v>
      </c>
      <c r="N835" s="11">
        <v>6.5</v>
      </c>
      <c r="O835" s="11">
        <v>-2.4</v>
      </c>
      <c r="P835" s="11">
        <v>-15.7</v>
      </c>
      <c r="Q835" s="11">
        <v>-25.4</v>
      </c>
      <c r="R835" s="10">
        <v>-4.3</v>
      </c>
      <c r="S835" s="12">
        <v>89</v>
      </c>
      <c r="T835" s="8" t="s">
        <v>1459</v>
      </c>
      <c r="U835" s="11">
        <v>-51</v>
      </c>
      <c r="V835" s="11">
        <v>-49</v>
      </c>
      <c r="W835" s="11">
        <v>-49</v>
      </c>
      <c r="X835" s="11">
        <v>-47</v>
      </c>
      <c r="Y835" s="11">
        <v>-33</v>
      </c>
      <c r="Z835" s="11">
        <v>-54</v>
      </c>
      <c r="AA835" s="11">
        <v>12.4</v>
      </c>
      <c r="AB835" s="11">
        <v>193</v>
      </c>
      <c r="AC835" s="11">
        <v>-17.2</v>
      </c>
      <c r="AD835" s="11">
        <v>252</v>
      </c>
      <c r="AE835" s="11">
        <v>-13.3</v>
      </c>
      <c r="AF835" s="11">
        <v>268</v>
      </c>
      <c r="AG835" s="11">
        <v>-11</v>
      </c>
      <c r="AH835" s="11">
        <v>79</v>
      </c>
      <c r="AI835" s="11">
        <v>76</v>
      </c>
      <c r="AJ835" s="11">
        <v>75</v>
      </c>
      <c r="AK835" s="11" t="s">
        <v>48</v>
      </c>
      <c r="AL835" s="11" t="s">
        <v>44</v>
      </c>
      <c r="AM835" s="10">
        <v>1</v>
      </c>
      <c r="AN835" s="9">
        <v>89</v>
      </c>
      <c r="AO835" s="8" t="s">
        <v>1458</v>
      </c>
      <c r="AP835" s="8">
        <v>970</v>
      </c>
      <c r="AQ835" s="8">
        <v>21.6</v>
      </c>
      <c r="AR835" s="8">
        <v>26.8</v>
      </c>
      <c r="AS835" s="8">
        <v>25.6</v>
      </c>
      <c r="AT835" s="8">
        <v>37</v>
      </c>
      <c r="AU835" s="8">
        <v>15.2</v>
      </c>
      <c r="AV835" s="8">
        <v>76</v>
      </c>
      <c r="AW835" s="8">
        <v>55</v>
      </c>
      <c r="AX835" s="8">
        <v>293</v>
      </c>
      <c r="AY835" s="8" t="s">
        <v>64</v>
      </c>
      <c r="AZ835" s="8" t="s">
        <v>43</v>
      </c>
      <c r="BA835" s="7" t="s">
        <v>46</v>
      </c>
      <c r="BB835" s="9">
        <v>73</v>
      </c>
      <c r="BC835" s="8" t="s">
        <v>1457</v>
      </c>
      <c r="BD835" s="8">
        <v>0.7</v>
      </c>
      <c r="BE835" s="8">
        <v>0.8</v>
      </c>
      <c r="BF835" s="8">
        <v>1.8</v>
      </c>
      <c r="BG835" s="8">
        <v>3.7</v>
      </c>
      <c r="BH835" s="8">
        <v>5.8</v>
      </c>
      <c r="BI835" s="8">
        <v>10.9</v>
      </c>
      <c r="BJ835" s="8">
        <v>14.7</v>
      </c>
      <c r="BK835" s="8">
        <v>12.9</v>
      </c>
      <c r="BL835" s="8">
        <v>7.9</v>
      </c>
      <c r="BM835" s="8">
        <v>4.2</v>
      </c>
      <c r="BN835" s="8">
        <v>1.8</v>
      </c>
      <c r="BO835" s="8">
        <v>0.9</v>
      </c>
      <c r="BP835" s="7">
        <v>5.5</v>
      </c>
    </row>
    <row r="836" spans="1:68" ht="14.25" customHeight="1">
      <c r="A836" s="12">
        <v>179</v>
      </c>
      <c r="B836" s="14">
        <v>415</v>
      </c>
      <c r="C836" s="13" t="s">
        <v>30</v>
      </c>
      <c r="D836" s="13" t="s">
        <v>57</v>
      </c>
      <c r="E836" s="13" t="s">
        <v>1455</v>
      </c>
      <c r="F836" s="11">
        <v>-39.299999999999997</v>
      </c>
      <c r="G836" s="11">
        <v>-35.200000000000003</v>
      </c>
      <c r="H836" s="11">
        <v>-23.6</v>
      </c>
      <c r="I836" s="11">
        <v>-10.9</v>
      </c>
      <c r="J836" s="11">
        <v>1.1000000000000001</v>
      </c>
      <c r="K836" s="11">
        <v>12</v>
      </c>
      <c r="L836" s="11">
        <v>15.9</v>
      </c>
      <c r="M836" s="11">
        <v>12</v>
      </c>
      <c r="N836" s="11">
        <v>3.5</v>
      </c>
      <c r="O836" s="11">
        <v>-10.1</v>
      </c>
      <c r="P836" s="11">
        <v>-29.5</v>
      </c>
      <c r="Q836" s="11">
        <v>-37.1</v>
      </c>
      <c r="R836" s="10">
        <v>-11.8</v>
      </c>
      <c r="S836" s="12">
        <v>415</v>
      </c>
      <c r="T836" s="8" t="s">
        <v>1455</v>
      </c>
      <c r="U836" s="11">
        <v>-57</v>
      </c>
      <c r="V836" s="11">
        <v>-55</v>
      </c>
      <c r="W836" s="11">
        <v>-54</v>
      </c>
      <c r="X836" s="11">
        <v>-51</v>
      </c>
      <c r="Y836" s="11">
        <v>-44</v>
      </c>
      <c r="Z836" s="11">
        <v>-60</v>
      </c>
      <c r="AA836" s="11">
        <v>7.3</v>
      </c>
      <c r="AB836" s="11">
        <v>232</v>
      </c>
      <c r="AC836" s="11">
        <v>-24</v>
      </c>
      <c r="AD836" s="11">
        <v>278</v>
      </c>
      <c r="AE836" s="11">
        <v>-19.3</v>
      </c>
      <c r="AF836" s="11">
        <v>291</v>
      </c>
      <c r="AG836" s="11">
        <v>-18</v>
      </c>
      <c r="AH836" s="11">
        <v>74</v>
      </c>
      <c r="AI836" s="11">
        <v>72</v>
      </c>
      <c r="AJ836" s="11">
        <v>59</v>
      </c>
      <c r="AK836" s="11" t="s">
        <v>34</v>
      </c>
      <c r="AL836" s="11">
        <v>5.0999999999999996</v>
      </c>
      <c r="AM836" s="10">
        <v>3.9</v>
      </c>
      <c r="AN836" s="9">
        <v>415</v>
      </c>
      <c r="AO836" s="8" t="s">
        <v>1456</v>
      </c>
      <c r="AP836" s="8">
        <v>995</v>
      </c>
      <c r="AQ836" s="8">
        <v>19.399999999999999</v>
      </c>
      <c r="AR836" s="8">
        <v>23.6</v>
      </c>
      <c r="AS836" s="8">
        <v>21.4</v>
      </c>
      <c r="AT836" s="8">
        <v>35</v>
      </c>
      <c r="AU836" s="8">
        <v>10.9</v>
      </c>
      <c r="AV836" s="8">
        <v>65</v>
      </c>
      <c r="AW836" s="8">
        <v>55</v>
      </c>
      <c r="AX836" s="8">
        <v>250</v>
      </c>
      <c r="AY836" s="8">
        <v>55</v>
      </c>
      <c r="AZ836" s="8" t="s">
        <v>32</v>
      </c>
      <c r="BA836" s="7">
        <v>4.2</v>
      </c>
      <c r="BB836" s="9">
        <v>379</v>
      </c>
      <c r="BC836" s="8" t="s">
        <v>1455</v>
      </c>
      <c r="BD836" s="8">
        <v>0.2</v>
      </c>
      <c r="BE836" s="8">
        <v>0.3</v>
      </c>
      <c r="BF836" s="8">
        <v>0.8</v>
      </c>
      <c r="BG836" s="8">
        <v>2</v>
      </c>
      <c r="BH836" s="8">
        <v>4.3</v>
      </c>
      <c r="BI836" s="8">
        <v>8.6999999999999993</v>
      </c>
      <c r="BJ836" s="8">
        <v>11.7</v>
      </c>
      <c r="BK836" s="8">
        <v>10.4</v>
      </c>
      <c r="BL836" s="8">
        <v>6.3</v>
      </c>
      <c r="BM836" s="8">
        <v>2.7</v>
      </c>
      <c r="BN836" s="8">
        <v>0.6</v>
      </c>
      <c r="BO836" s="8">
        <v>0.3</v>
      </c>
      <c r="BP836" s="7">
        <v>4</v>
      </c>
    </row>
    <row r="837" spans="1:68" ht="14.25" customHeight="1">
      <c r="A837" s="12">
        <v>180</v>
      </c>
      <c r="B837" s="14">
        <v>614</v>
      </c>
      <c r="C837" s="13" t="s">
        <v>52</v>
      </c>
      <c r="D837" s="13" t="s">
        <v>879</v>
      </c>
      <c r="E837" s="13" t="s">
        <v>1453</v>
      </c>
      <c r="F837" s="11">
        <v>-6</v>
      </c>
      <c r="G837" s="11">
        <v>-4.5999999999999996</v>
      </c>
      <c r="H837" s="11">
        <v>-0.1</v>
      </c>
      <c r="I837" s="11">
        <v>7.7</v>
      </c>
      <c r="J837" s="11">
        <v>13.9</v>
      </c>
      <c r="K837" s="11">
        <v>17</v>
      </c>
      <c r="L837" s="11">
        <v>18</v>
      </c>
      <c r="M837" s="11">
        <v>17.399999999999999</v>
      </c>
      <c r="N837" s="11">
        <v>13</v>
      </c>
      <c r="O837" s="11">
        <v>7.4</v>
      </c>
      <c r="P837" s="11">
        <v>1.8</v>
      </c>
      <c r="Q837" s="11">
        <v>-2.7</v>
      </c>
      <c r="R837" s="10">
        <v>6.9</v>
      </c>
      <c r="S837" s="12">
        <v>603</v>
      </c>
      <c r="T837" s="8" t="s">
        <v>1453</v>
      </c>
      <c r="U837" s="11">
        <v>-29</v>
      </c>
      <c r="V837" s="11">
        <v>-25</v>
      </c>
      <c r="W837" s="11">
        <v>-24</v>
      </c>
      <c r="X837" s="11">
        <v>-22</v>
      </c>
      <c r="Y837" s="11">
        <v>-9</v>
      </c>
      <c r="Z837" s="11">
        <v>-35</v>
      </c>
      <c r="AA837" s="11" t="s">
        <v>49</v>
      </c>
      <c r="AB837" s="11">
        <v>109</v>
      </c>
      <c r="AC837" s="11">
        <v>-3.9</v>
      </c>
      <c r="AD837" s="11">
        <v>182</v>
      </c>
      <c r="AE837" s="11">
        <v>-0.8</v>
      </c>
      <c r="AF837" s="11">
        <v>201</v>
      </c>
      <c r="AG837" s="11">
        <v>0.1</v>
      </c>
      <c r="AH837" s="11" t="s">
        <v>49</v>
      </c>
      <c r="AI837" s="11" t="s">
        <v>49</v>
      </c>
      <c r="AJ837" s="11">
        <v>174</v>
      </c>
      <c r="AK837" s="11" t="s">
        <v>48</v>
      </c>
      <c r="AL837" s="11" t="s">
        <v>44</v>
      </c>
      <c r="AM837" s="10" t="s">
        <v>44</v>
      </c>
      <c r="AN837" s="9">
        <v>604</v>
      </c>
      <c r="AO837" s="8" t="s">
        <v>1454</v>
      </c>
      <c r="AP837" s="8">
        <v>990</v>
      </c>
      <c r="AQ837" s="8">
        <v>26</v>
      </c>
      <c r="AR837" s="8">
        <v>22</v>
      </c>
      <c r="AS837" s="8">
        <v>23.7</v>
      </c>
      <c r="AT837" s="8">
        <v>38</v>
      </c>
      <c r="AU837" s="8" t="s">
        <v>46</v>
      </c>
      <c r="AV837" s="8" t="s">
        <v>45</v>
      </c>
      <c r="AW837" s="8" t="s">
        <v>44</v>
      </c>
      <c r="AX837" s="8" t="s">
        <v>44</v>
      </c>
      <c r="AY837" s="8">
        <v>180</v>
      </c>
      <c r="AZ837" s="8" t="s">
        <v>114</v>
      </c>
      <c r="BA837" s="7">
        <v>1.7</v>
      </c>
      <c r="BB837" s="9"/>
      <c r="BC837" s="8" t="s">
        <v>1453</v>
      </c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7"/>
    </row>
    <row r="838" spans="1:68" ht="14.25" customHeight="1">
      <c r="A838" s="12">
        <v>181</v>
      </c>
      <c r="B838" s="14">
        <v>23</v>
      </c>
      <c r="C838" s="13" t="s">
        <v>30</v>
      </c>
      <c r="D838" s="13" t="s">
        <v>99</v>
      </c>
      <c r="E838" s="13" t="s">
        <v>1450</v>
      </c>
      <c r="F838" s="11">
        <v>-26.9</v>
      </c>
      <c r="G838" s="11">
        <v>-20.9</v>
      </c>
      <c r="H838" s="11">
        <v>-11.6</v>
      </c>
      <c r="I838" s="11">
        <v>1.3</v>
      </c>
      <c r="J838" s="11">
        <v>9.6999999999999993</v>
      </c>
      <c r="K838" s="11">
        <v>16.7</v>
      </c>
      <c r="L838" s="11">
        <v>20.3</v>
      </c>
      <c r="M838" s="11">
        <v>18.100000000000001</v>
      </c>
      <c r="N838" s="11">
        <v>11.3</v>
      </c>
      <c r="O838" s="11">
        <v>1.1000000000000001</v>
      </c>
      <c r="P838" s="11">
        <v>-13.4</v>
      </c>
      <c r="Q838" s="11">
        <v>-24</v>
      </c>
      <c r="R838" s="10">
        <v>-1.5</v>
      </c>
      <c r="S838" s="12">
        <v>23</v>
      </c>
      <c r="T838" s="8" t="s">
        <v>1452</v>
      </c>
      <c r="U838" s="11">
        <v>-41</v>
      </c>
      <c r="V838" s="11">
        <v>-39</v>
      </c>
      <c r="W838" s="11">
        <v>-38</v>
      </c>
      <c r="X838" s="11">
        <v>-36</v>
      </c>
      <c r="Y838" s="11">
        <v>-32</v>
      </c>
      <c r="Z838" s="11">
        <v>-50</v>
      </c>
      <c r="AA838" s="11">
        <v>9.5</v>
      </c>
      <c r="AB838" s="11">
        <v>176</v>
      </c>
      <c r="AC838" s="11">
        <v>-16.399999999999999</v>
      </c>
      <c r="AD838" s="11">
        <v>226</v>
      </c>
      <c r="AE838" s="11">
        <v>-11.8</v>
      </c>
      <c r="AF838" s="11">
        <v>240</v>
      </c>
      <c r="AG838" s="11">
        <v>-10.7</v>
      </c>
      <c r="AH838" s="11">
        <v>79</v>
      </c>
      <c r="AI838" s="11">
        <v>74</v>
      </c>
      <c r="AJ838" s="11">
        <v>78</v>
      </c>
      <c r="AK838" s="11" t="s">
        <v>75</v>
      </c>
      <c r="AL838" s="11">
        <v>3.3</v>
      </c>
      <c r="AM838" s="10" t="s">
        <v>44</v>
      </c>
      <c r="AN838" s="9">
        <v>23</v>
      </c>
      <c r="AO838" s="8" t="s">
        <v>1451</v>
      </c>
      <c r="AP838" s="8">
        <v>980</v>
      </c>
      <c r="AQ838" s="8">
        <v>23.3</v>
      </c>
      <c r="AR838" s="8">
        <v>27.4</v>
      </c>
      <c r="AS838" s="8">
        <v>25.7</v>
      </c>
      <c r="AT838" s="8">
        <v>40</v>
      </c>
      <c r="AU838" s="8">
        <v>10.7</v>
      </c>
      <c r="AV838" s="8">
        <v>79</v>
      </c>
      <c r="AW838" s="8">
        <v>65</v>
      </c>
      <c r="AX838" s="8">
        <v>577</v>
      </c>
      <c r="AY838" s="8">
        <v>127</v>
      </c>
      <c r="AZ838" s="8" t="s">
        <v>25</v>
      </c>
      <c r="BA838" s="7">
        <v>0</v>
      </c>
      <c r="BB838" s="9"/>
      <c r="BC838" s="8" t="s">
        <v>1450</v>
      </c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7"/>
    </row>
    <row r="839" spans="1:68" ht="14.25" customHeight="1">
      <c r="A839" s="12">
        <v>182</v>
      </c>
      <c r="B839" s="14">
        <v>506</v>
      </c>
      <c r="C839" s="13" t="s">
        <v>121</v>
      </c>
      <c r="D839" s="13" t="s">
        <v>120</v>
      </c>
      <c r="E839" s="13" t="s">
        <v>1448</v>
      </c>
      <c r="F839" s="11">
        <v>-17</v>
      </c>
      <c r="G839" s="11">
        <v>-15</v>
      </c>
      <c r="H839" s="11">
        <v>-6.5</v>
      </c>
      <c r="I839" s="11">
        <v>6.9</v>
      </c>
      <c r="J839" s="11">
        <v>15.3</v>
      </c>
      <c r="K839" s="11">
        <v>20.7</v>
      </c>
      <c r="L839" s="11">
        <v>22.9</v>
      </c>
      <c r="M839" s="11">
        <v>21.2</v>
      </c>
      <c r="N839" s="11">
        <v>15.3</v>
      </c>
      <c r="O839" s="11">
        <v>6.2</v>
      </c>
      <c r="P839" s="11">
        <v>-5.8</v>
      </c>
      <c r="Q839" s="11">
        <v>-14.6</v>
      </c>
      <c r="R839" s="10">
        <v>4.0999999999999996</v>
      </c>
      <c r="S839" s="12">
        <v>506</v>
      </c>
      <c r="T839" s="8" t="s">
        <v>1448</v>
      </c>
      <c r="U839" s="11">
        <v>-39</v>
      </c>
      <c r="V839" s="11">
        <v>-38</v>
      </c>
      <c r="W839" s="11">
        <v>-36</v>
      </c>
      <c r="X839" s="11">
        <v>-33</v>
      </c>
      <c r="Y839" s="11">
        <v>-23</v>
      </c>
      <c r="Z839" s="11" t="s">
        <v>44</v>
      </c>
      <c r="AA839" s="11">
        <v>8.3000000000000007</v>
      </c>
      <c r="AB839" s="11">
        <v>151</v>
      </c>
      <c r="AC839" s="11">
        <v>-11.8</v>
      </c>
      <c r="AD839" s="11">
        <v>191</v>
      </c>
      <c r="AE839" s="11">
        <v>-8.3000000000000007</v>
      </c>
      <c r="AF839" s="11">
        <v>203</v>
      </c>
      <c r="AG839" s="11">
        <v>-7.3</v>
      </c>
      <c r="AH839" s="11">
        <v>81</v>
      </c>
      <c r="AI839" s="11">
        <v>80</v>
      </c>
      <c r="AJ839" s="11">
        <v>74</v>
      </c>
      <c r="AK839" s="11" t="s">
        <v>44</v>
      </c>
      <c r="AL839" s="11" t="s">
        <v>44</v>
      </c>
      <c r="AM839" s="10" t="s">
        <v>44</v>
      </c>
      <c r="AN839" s="9">
        <v>506</v>
      </c>
      <c r="AO839" s="8" t="s">
        <v>1449</v>
      </c>
      <c r="AP839" s="8" t="s">
        <v>64</v>
      </c>
      <c r="AQ839" s="8">
        <v>26.8</v>
      </c>
      <c r="AR839" s="8">
        <v>30.7</v>
      </c>
      <c r="AS839" s="8">
        <v>28.4</v>
      </c>
      <c r="AT839" s="8">
        <v>40</v>
      </c>
      <c r="AU839" s="8">
        <v>11</v>
      </c>
      <c r="AV839" s="8">
        <v>44</v>
      </c>
      <c r="AW839" s="8">
        <v>38</v>
      </c>
      <c r="AX839" s="8">
        <v>237</v>
      </c>
      <c r="AY839" s="8" t="s">
        <v>64</v>
      </c>
      <c r="AZ839" s="8" t="s">
        <v>114</v>
      </c>
      <c r="BA839" s="7" t="s">
        <v>46</v>
      </c>
      <c r="BB839" s="9"/>
      <c r="BC839" s="8" t="s">
        <v>1448</v>
      </c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7"/>
    </row>
    <row r="840" spans="1:68" ht="14.25" customHeight="1">
      <c r="A840" s="12">
        <v>183</v>
      </c>
      <c r="B840" s="14">
        <v>617</v>
      </c>
      <c r="C840" s="13" t="s">
        <v>52</v>
      </c>
      <c r="D840" s="13" t="s">
        <v>1271</v>
      </c>
      <c r="E840" s="13" t="s">
        <v>1446</v>
      </c>
      <c r="F840" s="11">
        <v>-4.2</v>
      </c>
      <c r="G840" s="11">
        <v>-2.9</v>
      </c>
      <c r="H840" s="11">
        <v>1.7</v>
      </c>
      <c r="I840" s="11">
        <v>9.9</v>
      </c>
      <c r="J840" s="11">
        <v>16.399999999999999</v>
      </c>
      <c r="K840" s="11">
        <v>20.2</v>
      </c>
      <c r="L840" s="11">
        <v>22</v>
      </c>
      <c r="M840" s="11">
        <v>21.2</v>
      </c>
      <c r="N840" s="11">
        <v>16.2</v>
      </c>
      <c r="O840" s="11">
        <v>9.5</v>
      </c>
      <c r="P840" s="11">
        <v>3.8</v>
      </c>
      <c r="Q840" s="11">
        <v>-0.8</v>
      </c>
      <c r="R840" s="10">
        <v>9.4</v>
      </c>
      <c r="S840" s="12">
        <v>606</v>
      </c>
      <c r="T840" s="8" t="s">
        <v>1446</v>
      </c>
      <c r="U840" s="11">
        <v>-27</v>
      </c>
      <c r="V840" s="11">
        <v>-24</v>
      </c>
      <c r="W840" s="11">
        <v>-23</v>
      </c>
      <c r="X840" s="11">
        <v>-21</v>
      </c>
      <c r="Y840" s="11">
        <v>-7</v>
      </c>
      <c r="Z840" s="11">
        <v>-32</v>
      </c>
      <c r="AA840" s="11" t="s">
        <v>49</v>
      </c>
      <c r="AB840" s="11">
        <v>86</v>
      </c>
      <c r="AC840" s="11">
        <v>-2.9</v>
      </c>
      <c r="AD840" s="11">
        <v>166</v>
      </c>
      <c r="AE840" s="11">
        <v>0.3</v>
      </c>
      <c r="AF840" s="11">
        <v>181</v>
      </c>
      <c r="AG840" s="11">
        <v>1</v>
      </c>
      <c r="AH840" s="11" t="s">
        <v>49</v>
      </c>
      <c r="AI840" s="11" t="s">
        <v>49</v>
      </c>
      <c r="AJ840" s="11">
        <v>219</v>
      </c>
      <c r="AK840" s="11" t="s">
        <v>199</v>
      </c>
      <c r="AL840" s="11" t="s">
        <v>44</v>
      </c>
      <c r="AM840" s="10" t="s">
        <v>44</v>
      </c>
      <c r="AN840" s="9">
        <v>607</v>
      </c>
      <c r="AO840" s="8" t="s">
        <v>1447</v>
      </c>
      <c r="AP840" s="8">
        <v>1010</v>
      </c>
      <c r="AQ840" s="8">
        <v>31</v>
      </c>
      <c r="AR840" s="8">
        <v>27</v>
      </c>
      <c r="AS840" s="8">
        <v>28.1</v>
      </c>
      <c r="AT840" s="8">
        <v>40</v>
      </c>
      <c r="AU840" s="8" t="s">
        <v>46</v>
      </c>
      <c r="AV840" s="8" t="s">
        <v>45</v>
      </c>
      <c r="AW840" s="8" t="s">
        <v>44</v>
      </c>
      <c r="AX840" s="8" t="s">
        <v>44</v>
      </c>
      <c r="AY840" s="8">
        <v>120</v>
      </c>
      <c r="AZ840" s="8" t="s">
        <v>32</v>
      </c>
      <c r="BA840" s="7">
        <v>1.1000000000000001</v>
      </c>
      <c r="BB840" s="9"/>
      <c r="BC840" s="8" t="s">
        <v>1446</v>
      </c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7"/>
    </row>
    <row r="841" spans="1:68" ht="14.25" customHeight="1">
      <c r="A841" s="12">
        <v>184</v>
      </c>
      <c r="B841" s="14">
        <v>249</v>
      </c>
      <c r="C841" s="13" t="s">
        <v>30</v>
      </c>
      <c r="D841" s="13" t="s">
        <v>800</v>
      </c>
      <c r="E841" s="13" t="s">
        <v>1443</v>
      </c>
      <c r="F841" s="11">
        <v>-11.6</v>
      </c>
      <c r="G841" s="11">
        <v>-11.1</v>
      </c>
      <c r="H841" s="11">
        <v>-5.6</v>
      </c>
      <c r="I841" s="11">
        <v>4.8</v>
      </c>
      <c r="J841" s="11">
        <v>13.4</v>
      </c>
      <c r="K841" s="11">
        <v>17.5</v>
      </c>
      <c r="L841" s="11">
        <v>19.399999999999999</v>
      </c>
      <c r="M841" s="11">
        <v>17.7</v>
      </c>
      <c r="N841" s="11">
        <v>11.7</v>
      </c>
      <c r="O841" s="11">
        <v>4.4000000000000004</v>
      </c>
      <c r="P841" s="11">
        <v>-2.4</v>
      </c>
      <c r="Q841" s="11">
        <v>-8.1999999999999993</v>
      </c>
      <c r="R841" s="10">
        <v>4.2</v>
      </c>
      <c r="S841" s="12">
        <v>249</v>
      </c>
      <c r="T841" s="8" t="s">
        <v>1445</v>
      </c>
      <c r="U841" s="11">
        <v>-37</v>
      </c>
      <c r="V841" s="11">
        <v>-34</v>
      </c>
      <c r="W841" s="11">
        <v>-32</v>
      </c>
      <c r="X841" s="11">
        <v>-29</v>
      </c>
      <c r="Y841" s="11">
        <v>-17</v>
      </c>
      <c r="Z841" s="11">
        <v>-43</v>
      </c>
      <c r="AA841" s="11">
        <v>7.9</v>
      </c>
      <c r="AB841" s="11">
        <v>148</v>
      </c>
      <c r="AC841" s="11">
        <v>-7.5</v>
      </c>
      <c r="AD841" s="11">
        <v>208</v>
      </c>
      <c r="AE841" s="11">
        <v>-4.2</v>
      </c>
      <c r="AF841" s="11">
        <v>223</v>
      </c>
      <c r="AG841" s="11">
        <v>-3.2</v>
      </c>
      <c r="AH841" s="11">
        <v>84</v>
      </c>
      <c r="AI841" s="11">
        <v>83</v>
      </c>
      <c r="AJ841" s="11">
        <v>160</v>
      </c>
      <c r="AK841" s="11" t="s">
        <v>27</v>
      </c>
      <c r="AL841" s="11">
        <v>6.2</v>
      </c>
      <c r="AM841" s="10">
        <v>4.3</v>
      </c>
      <c r="AN841" s="9">
        <v>249</v>
      </c>
      <c r="AO841" s="8" t="s">
        <v>1444</v>
      </c>
      <c r="AP841" s="8">
        <v>995</v>
      </c>
      <c r="AQ841" s="8">
        <v>23.2</v>
      </c>
      <c r="AR841" s="8">
        <v>27.3</v>
      </c>
      <c r="AS841" s="8">
        <v>25.6</v>
      </c>
      <c r="AT841" s="8">
        <v>39</v>
      </c>
      <c r="AU841" s="8">
        <v>12.8</v>
      </c>
      <c r="AV841" s="8">
        <v>70</v>
      </c>
      <c r="AW841" s="8">
        <v>52</v>
      </c>
      <c r="AX841" s="8">
        <v>351</v>
      </c>
      <c r="AY841" s="8">
        <v>73</v>
      </c>
      <c r="AZ841" s="8" t="s">
        <v>54</v>
      </c>
      <c r="BA841" s="7">
        <v>0</v>
      </c>
      <c r="BB841" s="9">
        <v>220</v>
      </c>
      <c r="BC841" s="8" t="s">
        <v>1443</v>
      </c>
      <c r="BD841" s="8">
        <v>2.6</v>
      </c>
      <c r="BE841" s="8">
        <v>2.7</v>
      </c>
      <c r="BF841" s="8">
        <v>3.8</v>
      </c>
      <c r="BG841" s="8">
        <v>6.7</v>
      </c>
      <c r="BH841" s="8">
        <v>9.1</v>
      </c>
      <c r="BI841" s="8">
        <v>12.5</v>
      </c>
      <c r="BJ841" s="8">
        <v>15</v>
      </c>
      <c r="BK841" s="8">
        <v>13.7</v>
      </c>
      <c r="BL841" s="8">
        <v>10</v>
      </c>
      <c r="BM841" s="8">
        <v>6.9</v>
      </c>
      <c r="BN841" s="8">
        <v>4.8</v>
      </c>
      <c r="BO841" s="8">
        <v>3.5</v>
      </c>
      <c r="BP841" s="7">
        <v>7.6</v>
      </c>
    </row>
    <row r="842" spans="1:68" ht="14.25" customHeight="1">
      <c r="A842" s="12">
        <v>185</v>
      </c>
      <c r="B842" s="14">
        <v>24</v>
      </c>
      <c r="C842" s="13" t="s">
        <v>30</v>
      </c>
      <c r="D842" s="13" t="s">
        <v>99</v>
      </c>
      <c r="E842" s="13" t="s">
        <v>1440</v>
      </c>
      <c r="F842" s="11">
        <v>-30.1</v>
      </c>
      <c r="G842" s="11">
        <v>-23.8</v>
      </c>
      <c r="H842" s="11">
        <v>-13.6</v>
      </c>
      <c r="I842" s="11">
        <v>-0.6</v>
      </c>
      <c r="J842" s="11">
        <v>8.4</v>
      </c>
      <c r="K842" s="11">
        <v>15.3</v>
      </c>
      <c r="L842" s="11">
        <v>18.600000000000001</v>
      </c>
      <c r="M842" s="11">
        <v>15.7</v>
      </c>
      <c r="N842" s="11">
        <v>9</v>
      </c>
      <c r="O842" s="11">
        <v>-2.4</v>
      </c>
      <c r="P842" s="11">
        <v>-17.8</v>
      </c>
      <c r="Q842" s="11">
        <v>-28</v>
      </c>
      <c r="R842" s="10">
        <v>-4.0999999999999996</v>
      </c>
      <c r="S842" s="12">
        <v>24</v>
      </c>
      <c r="T842" s="8" t="s">
        <v>1442</v>
      </c>
      <c r="U842" s="11">
        <v>-46</v>
      </c>
      <c r="V842" s="11">
        <v>-44</v>
      </c>
      <c r="W842" s="11">
        <v>-43</v>
      </c>
      <c r="X842" s="11">
        <v>-42</v>
      </c>
      <c r="Y842" s="11">
        <v>-35</v>
      </c>
      <c r="Z842" s="11">
        <v>-52</v>
      </c>
      <c r="AA842" s="11">
        <v>14.7</v>
      </c>
      <c r="AB842" s="11">
        <v>190</v>
      </c>
      <c r="AC842" s="11">
        <v>-18.3</v>
      </c>
      <c r="AD842" s="11">
        <v>238</v>
      </c>
      <c r="AE842" s="11">
        <v>-13.8</v>
      </c>
      <c r="AF842" s="11">
        <v>254</v>
      </c>
      <c r="AG842" s="11">
        <v>-12.4</v>
      </c>
      <c r="AH842" s="11">
        <v>69</v>
      </c>
      <c r="AI842" s="11">
        <v>63</v>
      </c>
      <c r="AJ842" s="11">
        <v>35</v>
      </c>
      <c r="AK842" s="11" t="s">
        <v>44</v>
      </c>
      <c r="AL842" s="11">
        <v>3.5</v>
      </c>
      <c r="AM842" s="10" t="s">
        <v>44</v>
      </c>
      <c r="AN842" s="9">
        <v>24</v>
      </c>
      <c r="AO842" s="8" t="s">
        <v>1441</v>
      </c>
      <c r="AP842" s="8">
        <v>980</v>
      </c>
      <c r="AQ842" s="8">
        <v>23.1</v>
      </c>
      <c r="AR842" s="8">
        <v>27.2</v>
      </c>
      <c r="AS842" s="8">
        <v>25.5</v>
      </c>
      <c r="AT842" s="8">
        <v>36</v>
      </c>
      <c r="AU842" s="8">
        <v>14.3</v>
      </c>
      <c r="AV842" s="8">
        <v>78</v>
      </c>
      <c r="AW842" s="8">
        <v>60</v>
      </c>
      <c r="AX842" s="8">
        <v>495</v>
      </c>
      <c r="AY842" s="8">
        <v>75</v>
      </c>
      <c r="AZ842" s="8" t="s">
        <v>114</v>
      </c>
      <c r="BA842" s="7">
        <v>0</v>
      </c>
      <c r="BB842" s="9"/>
      <c r="BC842" s="8" t="s">
        <v>1440</v>
      </c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7"/>
    </row>
    <row r="843" spans="1:68" ht="14.25" customHeight="1">
      <c r="A843" s="12">
        <v>186</v>
      </c>
      <c r="B843" s="14">
        <v>90</v>
      </c>
      <c r="C843" s="13" t="s">
        <v>30</v>
      </c>
      <c r="D843" s="13" t="s">
        <v>300</v>
      </c>
      <c r="E843" s="13" t="s">
        <v>1437</v>
      </c>
      <c r="F843" s="11">
        <v>-23</v>
      </c>
      <c r="G843" s="11">
        <v>-20</v>
      </c>
      <c r="H843" s="11">
        <v>-10.1</v>
      </c>
      <c r="I843" s="11">
        <v>1.1000000000000001</v>
      </c>
      <c r="J843" s="11">
        <v>8.6999999999999993</v>
      </c>
      <c r="K843" s="11">
        <v>15.8</v>
      </c>
      <c r="L843" s="11">
        <v>18</v>
      </c>
      <c r="M843" s="11">
        <v>14.9</v>
      </c>
      <c r="N843" s="11">
        <v>8.1</v>
      </c>
      <c r="O843" s="11">
        <v>-0.1</v>
      </c>
      <c r="P843" s="11">
        <v>-12.2</v>
      </c>
      <c r="Q843" s="11">
        <v>-20.5</v>
      </c>
      <c r="R843" s="10">
        <v>-1.6</v>
      </c>
      <c r="S843" s="12">
        <v>90</v>
      </c>
      <c r="T843" s="8" t="s">
        <v>1439</v>
      </c>
      <c r="U843" s="11">
        <v>-47</v>
      </c>
      <c r="V843" s="11">
        <v>-45</v>
      </c>
      <c r="W843" s="11">
        <v>-43</v>
      </c>
      <c r="X843" s="11">
        <v>-42</v>
      </c>
      <c r="Y843" s="11">
        <v>-28</v>
      </c>
      <c r="Z843" s="11">
        <v>-50</v>
      </c>
      <c r="AA843" s="11">
        <v>11.8</v>
      </c>
      <c r="AB843" s="11">
        <v>179</v>
      </c>
      <c r="AC843" s="11">
        <v>-14.4</v>
      </c>
      <c r="AD843" s="11">
        <v>239</v>
      </c>
      <c r="AE843" s="11">
        <v>-9.6999999999999993</v>
      </c>
      <c r="AF843" s="11">
        <v>257</v>
      </c>
      <c r="AG843" s="11">
        <v>-8.5</v>
      </c>
      <c r="AH843" s="11">
        <v>80</v>
      </c>
      <c r="AI843" s="11">
        <v>76</v>
      </c>
      <c r="AJ843" s="11">
        <v>92</v>
      </c>
      <c r="AK843" s="11" t="s">
        <v>75</v>
      </c>
      <c r="AL843" s="11">
        <v>4.9000000000000004</v>
      </c>
      <c r="AM843" s="10">
        <v>2.1</v>
      </c>
      <c r="AN843" s="9">
        <v>90</v>
      </c>
      <c r="AO843" s="8" t="s">
        <v>1438</v>
      </c>
      <c r="AP843" s="8">
        <v>955</v>
      </c>
      <c r="AQ843" s="8">
        <v>22.4</v>
      </c>
      <c r="AR843" s="8">
        <v>26.6</v>
      </c>
      <c r="AS843" s="8">
        <v>24.8</v>
      </c>
      <c r="AT843" s="8">
        <v>35</v>
      </c>
      <c r="AU843" s="8">
        <v>13.3</v>
      </c>
      <c r="AV843" s="8">
        <v>73</v>
      </c>
      <c r="AW843" s="8">
        <v>56</v>
      </c>
      <c r="AX843" s="8">
        <v>332</v>
      </c>
      <c r="AY843" s="8">
        <v>66</v>
      </c>
      <c r="AZ843" s="8" t="s">
        <v>54</v>
      </c>
      <c r="BA843" s="7">
        <v>0</v>
      </c>
      <c r="BB843" s="9">
        <v>74</v>
      </c>
      <c r="BC843" s="8" t="s">
        <v>1437</v>
      </c>
      <c r="BD843" s="8">
        <v>1</v>
      </c>
      <c r="BE843" s="8">
        <v>1.2</v>
      </c>
      <c r="BF843" s="8">
        <v>2.2000000000000002</v>
      </c>
      <c r="BG843" s="8">
        <v>4.2</v>
      </c>
      <c r="BH843" s="8">
        <v>6</v>
      </c>
      <c r="BI843" s="8">
        <v>10.7</v>
      </c>
      <c r="BJ843" s="8">
        <v>14.6</v>
      </c>
      <c r="BK843" s="8">
        <v>12.8</v>
      </c>
      <c r="BL843" s="8">
        <v>7.9</v>
      </c>
      <c r="BM843" s="8">
        <v>4.5</v>
      </c>
      <c r="BN843" s="8">
        <v>2.2000000000000002</v>
      </c>
      <c r="BO843" s="8">
        <v>1.3</v>
      </c>
      <c r="BP843" s="7">
        <v>5.7</v>
      </c>
    </row>
    <row r="844" spans="1:68" ht="14.25" customHeight="1">
      <c r="A844" s="12">
        <v>187</v>
      </c>
      <c r="B844" s="14">
        <v>6</v>
      </c>
      <c r="C844" s="13" t="s">
        <v>30</v>
      </c>
      <c r="D844" s="13" t="s">
        <v>438</v>
      </c>
      <c r="E844" s="13" t="s">
        <v>1434</v>
      </c>
      <c r="F844" s="11">
        <v>-15.1</v>
      </c>
      <c r="G844" s="11">
        <v>-14.4</v>
      </c>
      <c r="H844" s="11">
        <v>-7.9</v>
      </c>
      <c r="I844" s="11">
        <v>2.9</v>
      </c>
      <c r="J844" s="11">
        <v>11.7</v>
      </c>
      <c r="K844" s="11">
        <v>17.3</v>
      </c>
      <c r="L844" s="11">
        <v>19.2</v>
      </c>
      <c r="M844" s="11">
        <v>16.600000000000001</v>
      </c>
      <c r="N844" s="11">
        <v>11.3</v>
      </c>
      <c r="O844" s="11">
        <v>3.5</v>
      </c>
      <c r="P844" s="11">
        <v>-6.6</v>
      </c>
      <c r="Q844" s="11">
        <v>-13.2</v>
      </c>
      <c r="R844" s="10">
        <v>2.1</v>
      </c>
      <c r="S844" s="12">
        <v>6</v>
      </c>
      <c r="T844" s="8" t="s">
        <v>1436</v>
      </c>
      <c r="U844" s="11">
        <v>-44</v>
      </c>
      <c r="V844" s="11">
        <v>-41</v>
      </c>
      <c r="W844" s="11">
        <v>-40</v>
      </c>
      <c r="X844" s="11">
        <v>-38</v>
      </c>
      <c r="Y844" s="11">
        <v>-20</v>
      </c>
      <c r="Z844" s="11">
        <v>-49</v>
      </c>
      <c r="AA844" s="11">
        <v>10.5</v>
      </c>
      <c r="AB844" s="11">
        <v>163</v>
      </c>
      <c r="AC844" s="11">
        <v>-10.199999999999999</v>
      </c>
      <c r="AD844" s="11">
        <v>217</v>
      </c>
      <c r="AE844" s="11">
        <v>-6.6</v>
      </c>
      <c r="AF844" s="11">
        <v>232</v>
      </c>
      <c r="AG844" s="11">
        <v>-5.6</v>
      </c>
      <c r="AH844" s="11">
        <v>78</v>
      </c>
      <c r="AI844" s="11">
        <v>74</v>
      </c>
      <c r="AJ844" s="11">
        <v>204</v>
      </c>
      <c r="AK844" s="11" t="s">
        <v>34</v>
      </c>
      <c r="AL844" s="11">
        <v>6.9</v>
      </c>
      <c r="AM844" s="10">
        <v>3.7</v>
      </c>
      <c r="AN844" s="9">
        <v>6</v>
      </c>
      <c r="AO844" s="8" t="s">
        <v>1435</v>
      </c>
      <c r="AP844" s="8">
        <v>965</v>
      </c>
      <c r="AQ844" s="8">
        <v>23.6</v>
      </c>
      <c r="AR844" s="8">
        <v>27.7</v>
      </c>
      <c r="AS844" s="8">
        <v>26</v>
      </c>
      <c r="AT844" s="8">
        <v>40</v>
      </c>
      <c r="AU844" s="8">
        <v>13.3</v>
      </c>
      <c r="AV844" s="8">
        <v>68</v>
      </c>
      <c r="AW844" s="8">
        <v>52</v>
      </c>
      <c r="AX844" s="8">
        <v>445</v>
      </c>
      <c r="AY844" s="8">
        <v>113</v>
      </c>
      <c r="AZ844" s="8" t="s">
        <v>37</v>
      </c>
      <c r="BA844" s="7">
        <v>0</v>
      </c>
      <c r="BB844" s="9">
        <v>5</v>
      </c>
      <c r="BC844" s="8" t="s">
        <v>1434</v>
      </c>
      <c r="BD844" s="8">
        <v>1.8</v>
      </c>
      <c r="BE844" s="8">
        <v>1.8</v>
      </c>
      <c r="BF844" s="8">
        <v>2.9</v>
      </c>
      <c r="BG844" s="8">
        <v>5.3</v>
      </c>
      <c r="BH844" s="8">
        <v>7.9</v>
      </c>
      <c r="BI844" s="8">
        <v>12.1</v>
      </c>
      <c r="BJ844" s="8">
        <v>14.6</v>
      </c>
      <c r="BK844" s="8">
        <v>12.6</v>
      </c>
      <c r="BL844" s="8">
        <v>8.5</v>
      </c>
      <c r="BM844" s="8">
        <v>5.4</v>
      </c>
      <c r="BN844" s="8">
        <v>3.2</v>
      </c>
      <c r="BO844" s="8">
        <v>2.1</v>
      </c>
      <c r="BP844" s="7">
        <v>6.5</v>
      </c>
    </row>
    <row r="845" spans="1:68" ht="14.25" customHeight="1">
      <c r="A845" s="12">
        <v>188</v>
      </c>
      <c r="B845" s="14">
        <v>622</v>
      </c>
      <c r="C845" s="13" t="s">
        <v>52</v>
      </c>
      <c r="D845" s="13" t="s">
        <v>1265</v>
      </c>
      <c r="E845" s="13" t="s">
        <v>1432</v>
      </c>
      <c r="F845" s="11">
        <v>-5.9</v>
      </c>
      <c r="G845" s="11">
        <v>-4.5999999999999996</v>
      </c>
      <c r="H845" s="11">
        <v>0.3</v>
      </c>
      <c r="I845" s="11">
        <v>8.6999999999999993</v>
      </c>
      <c r="J845" s="11">
        <v>15.1</v>
      </c>
      <c r="K845" s="11">
        <v>18.5</v>
      </c>
      <c r="L845" s="11">
        <v>19.899999999999999</v>
      </c>
      <c r="M845" s="11">
        <v>19.3</v>
      </c>
      <c r="N845" s="11">
        <v>14.4</v>
      </c>
      <c r="O845" s="11">
        <v>7.9</v>
      </c>
      <c r="P845" s="11">
        <v>2.1</v>
      </c>
      <c r="Q845" s="11">
        <v>-2.5</v>
      </c>
      <c r="R845" s="10">
        <v>7.8</v>
      </c>
      <c r="S845" s="12">
        <v>611</v>
      </c>
      <c r="T845" s="8" t="s">
        <v>1432</v>
      </c>
      <c r="U845" s="11">
        <v>-29</v>
      </c>
      <c r="V845" s="11">
        <v>-27</v>
      </c>
      <c r="W845" s="11">
        <v>-25</v>
      </c>
      <c r="X845" s="11">
        <v>-22</v>
      </c>
      <c r="Y845" s="11">
        <v>-10</v>
      </c>
      <c r="Z845" s="11">
        <v>-35</v>
      </c>
      <c r="AA845" s="11" t="s">
        <v>49</v>
      </c>
      <c r="AB845" s="11">
        <v>105</v>
      </c>
      <c r="AC845" s="11">
        <v>-3.9</v>
      </c>
      <c r="AD845" s="11">
        <v>177</v>
      </c>
      <c r="AE845" s="11">
        <v>-0.8</v>
      </c>
      <c r="AF845" s="11">
        <v>193</v>
      </c>
      <c r="AG845" s="11">
        <v>0</v>
      </c>
      <c r="AH845" s="11" t="s">
        <v>49</v>
      </c>
      <c r="AI845" s="11" t="s">
        <v>49</v>
      </c>
      <c r="AJ845" s="11">
        <v>200</v>
      </c>
      <c r="AK845" s="11" t="s">
        <v>34</v>
      </c>
      <c r="AL845" s="11" t="s">
        <v>44</v>
      </c>
      <c r="AM845" s="10" t="s">
        <v>44</v>
      </c>
      <c r="AN845" s="9">
        <v>612</v>
      </c>
      <c r="AO845" s="8" t="s">
        <v>1433</v>
      </c>
      <c r="AP845" s="8">
        <v>995</v>
      </c>
      <c r="AQ845" s="8">
        <v>28</v>
      </c>
      <c r="AR845" s="8">
        <v>24</v>
      </c>
      <c r="AS845" s="8">
        <v>25.8</v>
      </c>
      <c r="AT845" s="8">
        <v>38</v>
      </c>
      <c r="AU845" s="8" t="s">
        <v>46</v>
      </c>
      <c r="AV845" s="8" t="s">
        <v>45</v>
      </c>
      <c r="AW845" s="8" t="s">
        <v>44</v>
      </c>
      <c r="AX845" s="8" t="s">
        <v>44</v>
      </c>
      <c r="AY845" s="8">
        <v>136</v>
      </c>
      <c r="AZ845" s="8" t="s">
        <v>32</v>
      </c>
      <c r="BA845" s="7">
        <v>1.5</v>
      </c>
      <c r="BB845" s="9"/>
      <c r="BC845" s="8" t="s">
        <v>1432</v>
      </c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7"/>
    </row>
    <row r="846" spans="1:68" ht="14.25" customHeight="1">
      <c r="A846" s="12">
        <v>189</v>
      </c>
      <c r="B846" s="14">
        <v>645</v>
      </c>
      <c r="C846" s="13" t="s">
        <v>52</v>
      </c>
      <c r="D846" s="13" t="s">
        <v>348</v>
      </c>
      <c r="E846" s="13" t="s">
        <v>1430</v>
      </c>
      <c r="F846" s="11">
        <v>-5.9</v>
      </c>
      <c r="G846" s="11">
        <v>-4.5999999999999996</v>
      </c>
      <c r="H846" s="11">
        <v>0.5</v>
      </c>
      <c r="I846" s="11">
        <v>8.9</v>
      </c>
      <c r="J846" s="11">
        <v>15.4</v>
      </c>
      <c r="K846" s="11">
        <v>18.5</v>
      </c>
      <c r="L846" s="11">
        <v>19.7</v>
      </c>
      <c r="M846" s="11">
        <v>18.8</v>
      </c>
      <c r="N846" s="11">
        <v>13.9</v>
      </c>
      <c r="O846" s="11">
        <v>7.7</v>
      </c>
      <c r="P846" s="11">
        <v>2.1</v>
      </c>
      <c r="Q846" s="11">
        <v>-2.5</v>
      </c>
      <c r="R846" s="10">
        <v>7.7</v>
      </c>
      <c r="S846" s="12">
        <v>634</v>
      </c>
      <c r="T846" s="8" t="s">
        <v>1430</v>
      </c>
      <c r="U846" s="11">
        <v>-29</v>
      </c>
      <c r="V846" s="11">
        <v>-26</v>
      </c>
      <c r="W846" s="11">
        <v>-24</v>
      </c>
      <c r="X846" s="11">
        <v>-21</v>
      </c>
      <c r="Y846" s="11">
        <v>-8</v>
      </c>
      <c r="Z846" s="11">
        <v>-36</v>
      </c>
      <c r="AA846" s="11" t="s">
        <v>49</v>
      </c>
      <c r="AB846" s="11">
        <v>104</v>
      </c>
      <c r="AC846" s="11">
        <v>-3.9</v>
      </c>
      <c r="AD846" s="11">
        <v>177</v>
      </c>
      <c r="AE846" s="11">
        <v>-0.8</v>
      </c>
      <c r="AF846" s="11">
        <v>194</v>
      </c>
      <c r="AG846" s="11">
        <v>0.1</v>
      </c>
      <c r="AH846" s="11" t="s">
        <v>49</v>
      </c>
      <c r="AI846" s="11" t="s">
        <v>49</v>
      </c>
      <c r="AJ846" s="11">
        <v>205</v>
      </c>
      <c r="AK846" s="11" t="s">
        <v>27</v>
      </c>
      <c r="AL846" s="11" t="s">
        <v>44</v>
      </c>
      <c r="AM846" s="10" t="s">
        <v>44</v>
      </c>
      <c r="AN846" s="9">
        <v>635</v>
      </c>
      <c r="AO846" s="8" t="s">
        <v>1431</v>
      </c>
      <c r="AP846" s="8">
        <v>1005</v>
      </c>
      <c r="AQ846" s="8">
        <v>29</v>
      </c>
      <c r="AR846" s="8">
        <v>24</v>
      </c>
      <c r="AS846" s="8">
        <v>25.6</v>
      </c>
      <c r="AT846" s="8">
        <v>39</v>
      </c>
      <c r="AU846" s="8" t="s">
        <v>46</v>
      </c>
      <c r="AV846" s="8" t="s">
        <v>45</v>
      </c>
      <c r="AW846" s="8" t="s">
        <v>44</v>
      </c>
      <c r="AX846" s="8" t="s">
        <v>44</v>
      </c>
      <c r="AY846" s="8">
        <v>89</v>
      </c>
      <c r="AZ846" s="8" t="s">
        <v>54</v>
      </c>
      <c r="BA846" s="7">
        <v>1.8</v>
      </c>
      <c r="BB846" s="9"/>
      <c r="BC846" s="8" t="s">
        <v>1430</v>
      </c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7"/>
    </row>
    <row r="847" spans="1:68" ht="14.25" customHeight="1">
      <c r="A847" s="12">
        <v>190</v>
      </c>
      <c r="B847" s="14">
        <v>416</v>
      </c>
      <c r="C847" s="13" t="s">
        <v>30</v>
      </c>
      <c r="D847" s="13" t="s">
        <v>57</v>
      </c>
      <c r="E847" s="13" t="s">
        <v>1428</v>
      </c>
      <c r="F847" s="11">
        <v>-36.799999999999997</v>
      </c>
      <c r="G847" s="11">
        <v>-33.9</v>
      </c>
      <c r="H847" s="11">
        <v>-25.9</v>
      </c>
      <c r="I847" s="11">
        <v>-12.4</v>
      </c>
      <c r="J847" s="11">
        <v>2.7</v>
      </c>
      <c r="K847" s="11">
        <v>13.1</v>
      </c>
      <c r="L847" s="11">
        <v>15.1</v>
      </c>
      <c r="M847" s="11">
        <v>11.8</v>
      </c>
      <c r="N847" s="11">
        <v>3.8</v>
      </c>
      <c r="O847" s="11">
        <v>-11.1</v>
      </c>
      <c r="P847" s="11">
        <v>-28.1</v>
      </c>
      <c r="Q847" s="11">
        <v>-35.4</v>
      </c>
      <c r="R847" s="10">
        <v>-11.4</v>
      </c>
      <c r="S847" s="12">
        <v>416</v>
      </c>
      <c r="T847" s="8" t="s">
        <v>1428</v>
      </c>
      <c r="U847" s="11">
        <v>-54</v>
      </c>
      <c r="V847" s="11">
        <v>-53</v>
      </c>
      <c r="W847" s="11">
        <v>-53</v>
      </c>
      <c r="X847" s="11">
        <v>-51</v>
      </c>
      <c r="Y847" s="11">
        <v>-42</v>
      </c>
      <c r="Z847" s="11">
        <v>-56</v>
      </c>
      <c r="AA847" s="11">
        <v>6.9</v>
      </c>
      <c r="AB847" s="11">
        <v>229</v>
      </c>
      <c r="AC847" s="11">
        <v>-23.9</v>
      </c>
      <c r="AD847" s="11">
        <v>274</v>
      </c>
      <c r="AE847" s="11">
        <v>-19.2</v>
      </c>
      <c r="AF847" s="11">
        <v>288</v>
      </c>
      <c r="AG847" s="11">
        <v>-17.899999999999999</v>
      </c>
      <c r="AH847" s="11">
        <v>77</v>
      </c>
      <c r="AI847" s="11">
        <v>77</v>
      </c>
      <c r="AJ847" s="11">
        <v>97</v>
      </c>
      <c r="AK847" s="11" t="s">
        <v>75</v>
      </c>
      <c r="AL847" s="11">
        <v>5.3</v>
      </c>
      <c r="AM847" s="10">
        <v>2.2000000000000002</v>
      </c>
      <c r="AN847" s="9">
        <v>416</v>
      </c>
      <c r="AO847" s="8" t="s">
        <v>1429</v>
      </c>
      <c r="AP847" s="8">
        <v>1005</v>
      </c>
      <c r="AQ847" s="8">
        <v>18.399999999999999</v>
      </c>
      <c r="AR847" s="8">
        <v>22.8</v>
      </c>
      <c r="AS847" s="8">
        <v>20.8</v>
      </c>
      <c r="AT847" s="8">
        <v>36</v>
      </c>
      <c r="AU847" s="8">
        <v>10.6</v>
      </c>
      <c r="AV847" s="8">
        <v>69</v>
      </c>
      <c r="AW847" s="8">
        <v>58</v>
      </c>
      <c r="AX847" s="8">
        <v>202</v>
      </c>
      <c r="AY847" s="8">
        <v>40</v>
      </c>
      <c r="AZ847" s="8" t="s">
        <v>32</v>
      </c>
      <c r="BA847" s="7">
        <v>0</v>
      </c>
      <c r="BB847" s="9">
        <v>380</v>
      </c>
      <c r="BC847" s="8" t="s">
        <v>1428</v>
      </c>
      <c r="BD847" s="8">
        <v>0.3</v>
      </c>
      <c r="BE847" s="8">
        <v>0.3</v>
      </c>
      <c r="BF847" s="8">
        <v>0.7</v>
      </c>
      <c r="BG847" s="8">
        <v>1.8</v>
      </c>
      <c r="BH847" s="8">
        <v>4.5</v>
      </c>
      <c r="BI847" s="8">
        <v>9</v>
      </c>
      <c r="BJ847" s="8">
        <v>11.6</v>
      </c>
      <c r="BK847" s="8">
        <v>10.4</v>
      </c>
      <c r="BL847" s="8">
        <v>6.2</v>
      </c>
      <c r="BM847" s="8">
        <v>2.5</v>
      </c>
      <c r="BN847" s="8">
        <v>0.6</v>
      </c>
      <c r="BO847" s="8">
        <v>0.3</v>
      </c>
      <c r="BP847" s="7">
        <v>4</v>
      </c>
    </row>
    <row r="848" spans="1:68" ht="14.25" customHeight="1">
      <c r="A848" s="12">
        <v>191</v>
      </c>
      <c r="B848" s="14">
        <v>507</v>
      </c>
      <c r="C848" s="13" t="s">
        <v>121</v>
      </c>
      <c r="D848" s="13" t="s">
        <v>120</v>
      </c>
      <c r="E848" s="13" t="s">
        <v>1426</v>
      </c>
      <c r="F848" s="11">
        <v>-22.6</v>
      </c>
      <c r="G848" s="11">
        <v>-20.8</v>
      </c>
      <c r="H848" s="11">
        <v>-11.7</v>
      </c>
      <c r="I848" s="11">
        <v>1.9</v>
      </c>
      <c r="J848" s="11">
        <v>12.2</v>
      </c>
      <c r="K848" s="11">
        <v>17.100000000000001</v>
      </c>
      <c r="L848" s="11">
        <v>18.899999999999999</v>
      </c>
      <c r="M848" s="11">
        <v>16.5</v>
      </c>
      <c r="N848" s="11">
        <v>10.6</v>
      </c>
      <c r="O848" s="11">
        <v>2.4</v>
      </c>
      <c r="P848" s="11">
        <v>-10.8</v>
      </c>
      <c r="Q848" s="11">
        <v>-19.5</v>
      </c>
      <c r="R848" s="10">
        <v>-0.5</v>
      </c>
      <c r="S848" s="12">
        <v>507</v>
      </c>
      <c r="T848" s="8" t="s">
        <v>1426</v>
      </c>
      <c r="U848" s="11">
        <v>-46</v>
      </c>
      <c r="V848" s="11">
        <v>-44</v>
      </c>
      <c r="W848" s="11">
        <v>-44</v>
      </c>
      <c r="X848" s="11">
        <v>-41</v>
      </c>
      <c r="Y848" s="11" t="s">
        <v>49</v>
      </c>
      <c r="Z848" s="11">
        <v>-51</v>
      </c>
      <c r="AA848" s="11">
        <v>12.3</v>
      </c>
      <c r="AB848" s="11">
        <v>172</v>
      </c>
      <c r="AC848" s="11">
        <v>-15.2</v>
      </c>
      <c r="AD848" s="11">
        <v>217</v>
      </c>
      <c r="AE848" s="11">
        <v>-11.1</v>
      </c>
      <c r="AF848" s="11">
        <v>231</v>
      </c>
      <c r="AG848" s="11">
        <v>-9.9</v>
      </c>
      <c r="AH848" s="11" t="s">
        <v>49</v>
      </c>
      <c r="AI848" s="11" t="s">
        <v>49</v>
      </c>
      <c r="AJ848" s="11">
        <v>218</v>
      </c>
      <c r="AK848" s="11" t="s">
        <v>44</v>
      </c>
      <c r="AL848" s="11" t="s">
        <v>44</v>
      </c>
      <c r="AM848" s="10" t="s">
        <v>44</v>
      </c>
      <c r="AN848" s="9">
        <v>507</v>
      </c>
      <c r="AO848" s="8" t="s">
        <v>1427</v>
      </c>
      <c r="AP848" s="8" t="s">
        <v>64</v>
      </c>
      <c r="AQ848" s="8" t="s">
        <v>45</v>
      </c>
      <c r="AR848" s="8" t="s">
        <v>44</v>
      </c>
      <c r="AS848" s="8">
        <v>26.9</v>
      </c>
      <c r="AT848" s="8">
        <v>40</v>
      </c>
      <c r="AU848" s="8">
        <v>15.9</v>
      </c>
      <c r="AV848" s="8" t="s">
        <v>45</v>
      </c>
      <c r="AW848" s="8" t="s">
        <v>44</v>
      </c>
      <c r="AX848" s="8">
        <v>387</v>
      </c>
      <c r="AY848" s="8" t="s">
        <v>64</v>
      </c>
      <c r="AZ848" s="8" t="s">
        <v>114</v>
      </c>
      <c r="BA848" s="7" t="s">
        <v>46</v>
      </c>
      <c r="BB848" s="9"/>
      <c r="BC848" s="8" t="s">
        <v>1426</v>
      </c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7"/>
    </row>
    <row r="849" spans="1:68" ht="14.25" customHeight="1">
      <c r="A849" s="12">
        <v>192</v>
      </c>
      <c r="B849" s="14">
        <v>81</v>
      </c>
      <c r="C849" s="13" t="s">
        <v>30</v>
      </c>
      <c r="D849" s="13" t="s">
        <v>1278</v>
      </c>
      <c r="E849" s="13" t="s">
        <v>1423</v>
      </c>
      <c r="F849" s="11">
        <v>-11.9</v>
      </c>
      <c r="G849" s="11">
        <v>-10.9</v>
      </c>
      <c r="H849" s="11">
        <v>-5.0999999999999996</v>
      </c>
      <c r="I849" s="11">
        <v>4.0999999999999996</v>
      </c>
      <c r="J849" s="11">
        <v>11.4</v>
      </c>
      <c r="K849" s="11">
        <v>15.8</v>
      </c>
      <c r="L849" s="11">
        <v>17.600000000000001</v>
      </c>
      <c r="M849" s="11">
        <v>15.8</v>
      </c>
      <c r="N849" s="11">
        <v>10.1</v>
      </c>
      <c r="O849" s="11">
        <v>3.5</v>
      </c>
      <c r="P849" s="11">
        <v>-3.1</v>
      </c>
      <c r="Q849" s="11">
        <v>-8.1</v>
      </c>
      <c r="R849" s="10">
        <v>3.3</v>
      </c>
      <c r="S849" s="12">
        <v>81</v>
      </c>
      <c r="T849" s="8" t="s">
        <v>1425</v>
      </c>
      <c r="U849" s="11">
        <v>-38</v>
      </c>
      <c r="V849" s="11">
        <v>-34</v>
      </c>
      <c r="W849" s="11">
        <v>-34</v>
      </c>
      <c r="X849" s="11">
        <v>-30</v>
      </c>
      <c r="Y849" s="11">
        <v>-17</v>
      </c>
      <c r="Z849" s="11">
        <v>-45</v>
      </c>
      <c r="AA849" s="11">
        <v>7.1</v>
      </c>
      <c r="AB849" s="11">
        <v>152</v>
      </c>
      <c r="AC849" s="11">
        <v>-7.4</v>
      </c>
      <c r="AD849" s="11">
        <v>219</v>
      </c>
      <c r="AE849" s="11">
        <v>-3.9</v>
      </c>
      <c r="AF849" s="11">
        <v>236</v>
      </c>
      <c r="AG849" s="11">
        <v>-2.9</v>
      </c>
      <c r="AH849" s="11">
        <v>85</v>
      </c>
      <c r="AI849" s="11">
        <v>84</v>
      </c>
      <c r="AJ849" s="11">
        <v>209</v>
      </c>
      <c r="AK849" s="11" t="s">
        <v>34</v>
      </c>
      <c r="AL849" s="11">
        <v>4.9000000000000004</v>
      </c>
      <c r="AM849" s="10">
        <v>4.2</v>
      </c>
      <c r="AN849" s="9">
        <v>81</v>
      </c>
      <c r="AO849" s="8" t="s">
        <v>1424</v>
      </c>
      <c r="AP849" s="8">
        <v>995</v>
      </c>
      <c r="AQ849" s="8">
        <v>20.9</v>
      </c>
      <c r="AR849" s="8">
        <v>25.1</v>
      </c>
      <c r="AS849" s="8">
        <v>23.3</v>
      </c>
      <c r="AT849" s="8">
        <v>38</v>
      </c>
      <c r="AU849" s="8">
        <v>11.1</v>
      </c>
      <c r="AV849" s="8">
        <v>72</v>
      </c>
      <c r="AW849" s="8">
        <v>56</v>
      </c>
      <c r="AX849" s="8">
        <v>437</v>
      </c>
      <c r="AY849" s="8">
        <v>78</v>
      </c>
      <c r="AZ849" s="8" t="s">
        <v>43</v>
      </c>
      <c r="BA849" s="7">
        <v>2.8</v>
      </c>
      <c r="BB849" s="9">
        <v>66</v>
      </c>
      <c r="BC849" s="8" t="s">
        <v>1423</v>
      </c>
      <c r="BD849" s="8">
        <v>2.6</v>
      </c>
      <c r="BE849" s="8">
        <v>2.6</v>
      </c>
      <c r="BF849" s="8">
        <v>3.6</v>
      </c>
      <c r="BG849" s="8">
        <v>6.1</v>
      </c>
      <c r="BH849" s="8">
        <v>9</v>
      </c>
      <c r="BI849" s="8">
        <v>12.4</v>
      </c>
      <c r="BJ849" s="8">
        <v>14.8</v>
      </c>
      <c r="BK849" s="8">
        <v>13.7</v>
      </c>
      <c r="BL849" s="8">
        <v>10.199999999999999</v>
      </c>
      <c r="BM849" s="8">
        <v>6.8</v>
      </c>
      <c r="BN849" s="8">
        <v>4.5999999999999996</v>
      </c>
      <c r="BO849" s="8">
        <v>3.4</v>
      </c>
      <c r="BP849" s="7">
        <v>7.5</v>
      </c>
    </row>
    <row r="850" spans="1:68" ht="14.25" customHeight="1">
      <c r="A850" s="12">
        <v>193</v>
      </c>
      <c r="B850" s="14">
        <v>619</v>
      </c>
      <c r="C850" s="13" t="s">
        <v>52</v>
      </c>
      <c r="D850" s="13" t="s">
        <v>1422</v>
      </c>
      <c r="E850" s="13" t="s">
        <v>1420</v>
      </c>
      <c r="F850" s="11">
        <v>-5.0999999999999996</v>
      </c>
      <c r="G850" s="11">
        <v>-3.2</v>
      </c>
      <c r="H850" s="11">
        <v>1.4</v>
      </c>
      <c r="I850" s="11">
        <v>8.1</v>
      </c>
      <c r="J850" s="11">
        <v>13.5</v>
      </c>
      <c r="K850" s="11">
        <v>16.600000000000001</v>
      </c>
      <c r="L850" s="11">
        <v>17.899999999999999</v>
      </c>
      <c r="M850" s="11">
        <v>17.3</v>
      </c>
      <c r="N850" s="11">
        <v>13.5</v>
      </c>
      <c r="O850" s="11">
        <v>8</v>
      </c>
      <c r="P850" s="11">
        <v>2.6</v>
      </c>
      <c r="Q850" s="11">
        <v>-2.1</v>
      </c>
      <c r="R850" s="10">
        <v>7.4</v>
      </c>
      <c r="S850" s="12">
        <v>608</v>
      </c>
      <c r="T850" s="8" t="s">
        <v>1420</v>
      </c>
      <c r="U850" s="11">
        <v>-26</v>
      </c>
      <c r="V850" s="11">
        <v>-24</v>
      </c>
      <c r="W850" s="11">
        <v>-22</v>
      </c>
      <c r="X850" s="11">
        <v>-20</v>
      </c>
      <c r="Y850" s="11">
        <v>-9</v>
      </c>
      <c r="Z850" s="11">
        <v>-34</v>
      </c>
      <c r="AA850" s="11" t="s">
        <v>49</v>
      </c>
      <c r="AB850" s="11">
        <v>96</v>
      </c>
      <c r="AC850" s="11">
        <v>-3.3</v>
      </c>
      <c r="AD850" s="11">
        <v>178</v>
      </c>
      <c r="AE850" s="11">
        <v>0</v>
      </c>
      <c r="AF850" s="11">
        <v>198</v>
      </c>
      <c r="AG850" s="11">
        <v>0.9</v>
      </c>
      <c r="AH850" s="11" t="s">
        <v>49</v>
      </c>
      <c r="AI850" s="11" t="s">
        <v>49</v>
      </c>
      <c r="AJ850" s="11">
        <v>172</v>
      </c>
      <c r="AK850" s="11" t="s">
        <v>27</v>
      </c>
      <c r="AL850" s="11" t="s">
        <v>44</v>
      </c>
      <c r="AM850" s="10" t="s">
        <v>44</v>
      </c>
      <c r="AN850" s="9">
        <v>609</v>
      </c>
      <c r="AO850" s="8" t="s">
        <v>1421</v>
      </c>
      <c r="AP850" s="8">
        <v>985</v>
      </c>
      <c r="AQ850" s="8">
        <v>26</v>
      </c>
      <c r="AR850" s="8">
        <v>21</v>
      </c>
      <c r="AS850" s="8">
        <v>23.6</v>
      </c>
      <c r="AT850" s="8">
        <v>37</v>
      </c>
      <c r="AU850" s="8" t="s">
        <v>46</v>
      </c>
      <c r="AV850" s="8" t="s">
        <v>45</v>
      </c>
      <c r="AW850" s="8" t="s">
        <v>44</v>
      </c>
      <c r="AX850" s="8" t="s">
        <v>44</v>
      </c>
      <c r="AY850" s="8">
        <v>93</v>
      </c>
      <c r="AZ850" s="8" t="s">
        <v>43</v>
      </c>
      <c r="BA850" s="7">
        <v>1.4</v>
      </c>
      <c r="BB850" s="9"/>
      <c r="BC850" s="8" t="s">
        <v>1420</v>
      </c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7"/>
    </row>
    <row r="851" spans="1:68" ht="14.25" customHeight="1">
      <c r="A851" s="12">
        <v>194</v>
      </c>
      <c r="B851" s="14">
        <v>280</v>
      </c>
      <c r="C851" s="13" t="s">
        <v>30</v>
      </c>
      <c r="D851" s="13" t="s">
        <v>131</v>
      </c>
      <c r="E851" s="13" t="s">
        <v>1417</v>
      </c>
      <c r="F851" s="11">
        <v>-19.100000000000001</v>
      </c>
      <c r="G851" s="11">
        <v>-16.7</v>
      </c>
      <c r="H851" s="11">
        <v>-8.4</v>
      </c>
      <c r="I851" s="11">
        <v>1.4</v>
      </c>
      <c r="J851" s="11">
        <v>7.6</v>
      </c>
      <c r="K851" s="11">
        <v>13.9</v>
      </c>
      <c r="L851" s="11">
        <v>16.600000000000001</v>
      </c>
      <c r="M851" s="11">
        <v>13.9</v>
      </c>
      <c r="N851" s="11">
        <v>7.8</v>
      </c>
      <c r="O851" s="11">
        <v>-0.6</v>
      </c>
      <c r="P851" s="11">
        <v>-8.8000000000000007</v>
      </c>
      <c r="Q851" s="11">
        <v>-16.3</v>
      </c>
      <c r="R851" s="10">
        <v>-0.7</v>
      </c>
      <c r="S851" s="12">
        <v>280</v>
      </c>
      <c r="T851" s="8" t="s">
        <v>1419</v>
      </c>
      <c r="U851" s="11">
        <v>-46</v>
      </c>
      <c r="V851" s="11">
        <v>-43</v>
      </c>
      <c r="W851" s="11">
        <v>-43</v>
      </c>
      <c r="X851" s="11">
        <v>-39</v>
      </c>
      <c r="Y851" s="11">
        <v>-24</v>
      </c>
      <c r="Z851" s="11">
        <v>-49</v>
      </c>
      <c r="AA851" s="11">
        <v>14.4</v>
      </c>
      <c r="AB851" s="11">
        <v>179</v>
      </c>
      <c r="AC851" s="11">
        <v>-11.6</v>
      </c>
      <c r="AD851" s="11">
        <v>245</v>
      </c>
      <c r="AE851" s="11">
        <v>-7.4</v>
      </c>
      <c r="AF851" s="11">
        <v>265</v>
      </c>
      <c r="AG851" s="11">
        <v>-6.2</v>
      </c>
      <c r="AH851" s="11">
        <v>78</v>
      </c>
      <c r="AI851" s="11">
        <v>75</v>
      </c>
      <c r="AJ851" s="11">
        <v>112</v>
      </c>
      <c r="AK851" s="11" t="s">
        <v>56</v>
      </c>
      <c r="AL851" s="11" t="s">
        <v>44</v>
      </c>
      <c r="AM851" s="10">
        <v>2.2000000000000002</v>
      </c>
      <c r="AN851" s="9">
        <v>298</v>
      </c>
      <c r="AO851" s="8" t="s">
        <v>1418</v>
      </c>
      <c r="AP851" s="8">
        <v>1000</v>
      </c>
      <c r="AQ851" s="8">
        <v>20.7</v>
      </c>
      <c r="AR851" s="8">
        <v>24.7</v>
      </c>
      <c r="AS851" s="8">
        <v>22.7</v>
      </c>
      <c r="AT851" s="8">
        <v>35</v>
      </c>
      <c r="AU851" s="8">
        <v>11.9</v>
      </c>
      <c r="AV851" s="8">
        <v>70</v>
      </c>
      <c r="AW851" s="8">
        <v>57</v>
      </c>
      <c r="AX851" s="8">
        <v>381</v>
      </c>
      <c r="AY851" s="8">
        <v>91</v>
      </c>
      <c r="AZ851" s="8" t="s">
        <v>32</v>
      </c>
      <c r="BA851" s="7" t="s">
        <v>46</v>
      </c>
      <c r="BB851" s="9">
        <v>269</v>
      </c>
      <c r="BC851" s="8" t="s">
        <v>1417</v>
      </c>
      <c r="BD851" s="8">
        <v>1.4</v>
      </c>
      <c r="BE851" s="8">
        <v>1.5</v>
      </c>
      <c r="BF851" s="8">
        <v>2.5</v>
      </c>
      <c r="BG851" s="8">
        <v>4.4000000000000004</v>
      </c>
      <c r="BH851" s="8">
        <v>6.3</v>
      </c>
      <c r="BI851" s="8">
        <v>10.1</v>
      </c>
      <c r="BJ851" s="8">
        <v>13.4</v>
      </c>
      <c r="BK851" s="8">
        <v>12.1</v>
      </c>
      <c r="BL851" s="8">
        <v>8.5</v>
      </c>
      <c r="BM851" s="8">
        <v>4.8</v>
      </c>
      <c r="BN851" s="8">
        <v>2.8</v>
      </c>
      <c r="BO851" s="8">
        <v>1.7</v>
      </c>
      <c r="BP851" s="7">
        <v>5.8</v>
      </c>
    </row>
    <row r="852" spans="1:68" ht="14.25" customHeight="1">
      <c r="A852" s="12">
        <v>195</v>
      </c>
      <c r="B852" s="14">
        <v>182</v>
      </c>
      <c r="C852" s="13" t="s">
        <v>30</v>
      </c>
      <c r="D852" s="13" t="s">
        <v>29</v>
      </c>
      <c r="E852" s="13" t="s">
        <v>1414</v>
      </c>
      <c r="F852" s="11">
        <v>-28.1</v>
      </c>
      <c r="G852" s="11">
        <v>-26.3</v>
      </c>
      <c r="H852" s="11">
        <v>-20</v>
      </c>
      <c r="I852" s="11">
        <v>-10.8</v>
      </c>
      <c r="J852" s="11">
        <v>-2</v>
      </c>
      <c r="K852" s="11">
        <v>8.5</v>
      </c>
      <c r="L852" s="11">
        <v>15.1</v>
      </c>
      <c r="M852" s="11">
        <v>11.5</v>
      </c>
      <c r="N852" s="11">
        <v>5.0999999999999996</v>
      </c>
      <c r="O852" s="11">
        <v>-6.5</v>
      </c>
      <c r="P852" s="11">
        <v>-20.8</v>
      </c>
      <c r="Q852" s="11">
        <v>-26.2</v>
      </c>
      <c r="R852" s="10">
        <v>-8.4</v>
      </c>
      <c r="S852" s="12">
        <v>182</v>
      </c>
      <c r="T852" s="8" t="s">
        <v>1416</v>
      </c>
      <c r="U852" s="11">
        <v>-54</v>
      </c>
      <c r="V852" s="11">
        <v>-53</v>
      </c>
      <c r="W852" s="11">
        <v>-50</v>
      </c>
      <c r="X852" s="11">
        <v>-49</v>
      </c>
      <c r="Y852" s="11">
        <v>-33</v>
      </c>
      <c r="Z852" s="11">
        <v>-60</v>
      </c>
      <c r="AA852" s="11">
        <v>9.1999999999999993</v>
      </c>
      <c r="AB852" s="11">
        <v>235</v>
      </c>
      <c r="AC852" s="11">
        <v>-17.8</v>
      </c>
      <c r="AD852" s="11">
        <v>285</v>
      </c>
      <c r="AE852" s="11">
        <v>-13.9</v>
      </c>
      <c r="AF852" s="11">
        <v>303</v>
      </c>
      <c r="AG852" s="11">
        <v>-12.6</v>
      </c>
      <c r="AH852" s="11">
        <v>77</v>
      </c>
      <c r="AI852" s="11">
        <v>76</v>
      </c>
      <c r="AJ852" s="11">
        <v>152</v>
      </c>
      <c r="AK852" s="11" t="s">
        <v>27</v>
      </c>
      <c r="AL852" s="11">
        <v>7.8</v>
      </c>
      <c r="AM852" s="10">
        <v>4.0999999999999996</v>
      </c>
      <c r="AN852" s="9">
        <v>182</v>
      </c>
      <c r="AO852" s="8" t="s">
        <v>1415</v>
      </c>
      <c r="AP852" s="8">
        <v>1005</v>
      </c>
      <c r="AQ852" s="8">
        <v>17.899999999999999</v>
      </c>
      <c r="AR852" s="8">
        <v>22.4</v>
      </c>
      <c r="AS852" s="8">
        <v>20.3</v>
      </c>
      <c r="AT852" s="8">
        <v>33</v>
      </c>
      <c r="AU852" s="8">
        <v>9.9</v>
      </c>
      <c r="AV852" s="8">
        <v>69</v>
      </c>
      <c r="AW852" s="8">
        <v>60</v>
      </c>
      <c r="AX852" s="8">
        <v>366</v>
      </c>
      <c r="AY852" s="8">
        <v>55</v>
      </c>
      <c r="AZ852" s="8" t="s">
        <v>54</v>
      </c>
      <c r="BA852" s="7">
        <v>4.4000000000000004</v>
      </c>
      <c r="BB852" s="9">
        <v>160</v>
      </c>
      <c r="BC852" s="8" t="s">
        <v>1414</v>
      </c>
      <c r="BD852" s="8">
        <v>0.7</v>
      </c>
      <c r="BE852" s="8">
        <v>0.8</v>
      </c>
      <c r="BF852" s="8">
        <v>1.3</v>
      </c>
      <c r="BG852" s="8">
        <v>2.2999999999999998</v>
      </c>
      <c r="BH852" s="8">
        <v>3.9</v>
      </c>
      <c r="BI852" s="8">
        <v>7.7</v>
      </c>
      <c r="BJ852" s="8">
        <v>12</v>
      </c>
      <c r="BK852" s="8">
        <v>10.6</v>
      </c>
      <c r="BL852" s="8">
        <v>7.3</v>
      </c>
      <c r="BM852" s="8">
        <v>3.6</v>
      </c>
      <c r="BN852" s="8">
        <v>1.4</v>
      </c>
      <c r="BO852" s="8">
        <v>0.9</v>
      </c>
      <c r="BP852" s="7">
        <v>4.4000000000000004</v>
      </c>
    </row>
    <row r="853" spans="1:68" ht="14.25" customHeight="1">
      <c r="A853" s="12">
        <v>196</v>
      </c>
      <c r="B853" s="14">
        <v>341</v>
      </c>
      <c r="C853" s="13" t="s">
        <v>30</v>
      </c>
      <c r="D853" s="13" t="s">
        <v>664</v>
      </c>
      <c r="E853" s="13" t="s">
        <v>1411</v>
      </c>
      <c r="F853" s="11">
        <v>-14.6</v>
      </c>
      <c r="G853" s="11">
        <v>-13.3</v>
      </c>
      <c r="H853" s="11">
        <v>-6.7</v>
      </c>
      <c r="I853" s="11">
        <v>3.3</v>
      </c>
      <c r="J853" s="11">
        <v>11.3</v>
      </c>
      <c r="K853" s="11">
        <v>16.399999999999999</v>
      </c>
      <c r="L853" s="11">
        <v>18.5</v>
      </c>
      <c r="M853" s="11">
        <v>16.399999999999999</v>
      </c>
      <c r="N853" s="11">
        <v>10.1</v>
      </c>
      <c r="O853" s="11">
        <v>2.1</v>
      </c>
      <c r="P853" s="11">
        <v>-5.0999999999999996</v>
      </c>
      <c r="Q853" s="11">
        <v>-11.6</v>
      </c>
      <c r="R853" s="10">
        <v>2.2999999999999998</v>
      </c>
      <c r="S853" s="12">
        <v>341</v>
      </c>
      <c r="T853" s="8" t="s">
        <v>1413</v>
      </c>
      <c r="U853" s="11">
        <v>-41</v>
      </c>
      <c r="V853" s="11">
        <v>-38</v>
      </c>
      <c r="W853" s="11">
        <v>-38</v>
      </c>
      <c r="X853" s="11">
        <v>-34</v>
      </c>
      <c r="Y853" s="11">
        <v>-20</v>
      </c>
      <c r="Z853" s="11">
        <v>-48</v>
      </c>
      <c r="AA853" s="11">
        <v>6.9</v>
      </c>
      <c r="AB853" s="11">
        <v>162</v>
      </c>
      <c r="AC853" s="11">
        <v>-9.1999999999999993</v>
      </c>
      <c r="AD853" s="11">
        <v>222</v>
      </c>
      <c r="AE853" s="11">
        <v>-5.6</v>
      </c>
      <c r="AF853" s="11">
        <v>237</v>
      </c>
      <c r="AG853" s="11">
        <v>-4.7</v>
      </c>
      <c r="AH853" s="11">
        <v>85</v>
      </c>
      <c r="AI853" s="11">
        <v>80</v>
      </c>
      <c r="AJ853" s="11">
        <v>168</v>
      </c>
      <c r="AK853" s="11" t="s">
        <v>39</v>
      </c>
      <c r="AL853" s="11">
        <v>4.8</v>
      </c>
      <c r="AM853" s="10">
        <v>4</v>
      </c>
      <c r="AN853" s="9">
        <v>341</v>
      </c>
      <c r="AO853" s="8" t="s">
        <v>1412</v>
      </c>
      <c r="AP853" s="8">
        <v>995</v>
      </c>
      <c r="AQ853" s="8">
        <v>22.4</v>
      </c>
      <c r="AR853" s="8">
        <v>27</v>
      </c>
      <c r="AS853" s="8">
        <v>24.1</v>
      </c>
      <c r="AT853" s="8">
        <v>37</v>
      </c>
      <c r="AU853" s="8">
        <v>10.6</v>
      </c>
      <c r="AV853" s="8">
        <v>69</v>
      </c>
      <c r="AW853" s="8">
        <v>56</v>
      </c>
      <c r="AX853" s="8">
        <v>342</v>
      </c>
      <c r="AY853" s="8">
        <v>61</v>
      </c>
      <c r="AZ853" s="8" t="s">
        <v>43</v>
      </c>
      <c r="BA853" s="7">
        <v>0</v>
      </c>
      <c r="BB853" s="9">
        <v>308</v>
      </c>
      <c r="BC853" s="8" t="s">
        <v>1411</v>
      </c>
      <c r="BD853" s="8">
        <v>2.1</v>
      </c>
      <c r="BE853" s="8">
        <v>2.1</v>
      </c>
      <c r="BF853" s="8">
        <v>3.2</v>
      </c>
      <c r="BG853" s="8">
        <v>5.7</v>
      </c>
      <c r="BH853" s="8">
        <v>8.1999999999999993</v>
      </c>
      <c r="BI853" s="8">
        <v>11.6</v>
      </c>
      <c r="BJ853" s="8">
        <v>14.5</v>
      </c>
      <c r="BK853" s="8">
        <v>13</v>
      </c>
      <c r="BL853" s="8">
        <v>9.5</v>
      </c>
      <c r="BM853" s="8">
        <v>6</v>
      </c>
      <c r="BN853" s="8">
        <v>4</v>
      </c>
      <c r="BO853" s="8">
        <v>2.6</v>
      </c>
      <c r="BP853" s="7">
        <v>6.9</v>
      </c>
    </row>
    <row r="854" spans="1:68" ht="14.25" customHeight="1">
      <c r="A854" s="12">
        <v>197</v>
      </c>
      <c r="B854" s="14">
        <v>627</v>
      </c>
      <c r="C854" s="13" t="s">
        <v>52</v>
      </c>
      <c r="D854" s="13" t="s">
        <v>660</v>
      </c>
      <c r="E854" s="13" t="s">
        <v>1409</v>
      </c>
      <c r="F854" s="11">
        <v>-1.7</v>
      </c>
      <c r="G854" s="11">
        <v>-0.1</v>
      </c>
      <c r="H854" s="11">
        <v>4</v>
      </c>
      <c r="I854" s="11">
        <v>10.5</v>
      </c>
      <c r="J854" s="11">
        <v>16.2</v>
      </c>
      <c r="K854" s="11">
        <v>20.100000000000001</v>
      </c>
      <c r="L854" s="11">
        <v>21.8</v>
      </c>
      <c r="M854" s="11">
        <v>21.2</v>
      </c>
      <c r="N854" s="11">
        <v>17</v>
      </c>
      <c r="O854" s="11">
        <v>11</v>
      </c>
      <c r="P854" s="11">
        <v>5.7</v>
      </c>
      <c r="Q854" s="11">
        <v>1</v>
      </c>
      <c r="R854" s="10">
        <v>10.6</v>
      </c>
      <c r="S854" s="12">
        <v>616</v>
      </c>
      <c r="T854" s="8" t="s">
        <v>1409</v>
      </c>
      <c r="U854" s="11">
        <v>-22</v>
      </c>
      <c r="V854" s="11">
        <v>-19</v>
      </c>
      <c r="W854" s="11">
        <v>-17</v>
      </c>
      <c r="X854" s="11">
        <v>-15</v>
      </c>
      <c r="Y854" s="11">
        <v>-2</v>
      </c>
      <c r="Z854" s="11">
        <v>-25</v>
      </c>
      <c r="AA854" s="11" t="s">
        <v>49</v>
      </c>
      <c r="AB854" s="11">
        <v>54</v>
      </c>
      <c r="AC854" s="11">
        <v>-1.3</v>
      </c>
      <c r="AD854" s="11">
        <v>153</v>
      </c>
      <c r="AE854" s="11">
        <v>1.9</v>
      </c>
      <c r="AF854" s="11">
        <v>172</v>
      </c>
      <c r="AG854" s="11">
        <v>2.7</v>
      </c>
      <c r="AH854" s="11" t="s">
        <v>49</v>
      </c>
      <c r="AI854" s="11" t="s">
        <v>49</v>
      </c>
      <c r="AJ854" s="11">
        <v>188</v>
      </c>
      <c r="AK854" s="11" t="s">
        <v>56</v>
      </c>
      <c r="AL854" s="11">
        <v>6.4</v>
      </c>
      <c r="AM854" s="10" t="s">
        <v>44</v>
      </c>
      <c r="AN854" s="9">
        <v>617</v>
      </c>
      <c r="AO854" s="8" t="s">
        <v>1410</v>
      </c>
      <c r="AP854" s="8">
        <v>1015</v>
      </c>
      <c r="AQ854" s="8">
        <v>27</v>
      </c>
      <c r="AR854" s="8">
        <v>24</v>
      </c>
      <c r="AS854" s="8">
        <v>25.8</v>
      </c>
      <c r="AT854" s="8">
        <v>38</v>
      </c>
      <c r="AU854" s="8" t="s">
        <v>46</v>
      </c>
      <c r="AV854" s="8" t="s">
        <v>45</v>
      </c>
      <c r="AW854" s="8" t="s">
        <v>44</v>
      </c>
      <c r="AX854" s="8" t="s">
        <v>44</v>
      </c>
      <c r="AY854" s="8">
        <v>76</v>
      </c>
      <c r="AZ854" s="8" t="s">
        <v>32</v>
      </c>
      <c r="BA854" s="7">
        <v>2.2999999999999998</v>
      </c>
      <c r="BB854" s="9"/>
      <c r="BC854" s="8" t="s">
        <v>1409</v>
      </c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7"/>
    </row>
    <row r="855" spans="1:68" ht="14.25" customHeight="1">
      <c r="A855" s="12">
        <v>198</v>
      </c>
      <c r="B855" s="14">
        <v>91</v>
      </c>
      <c r="C855" s="13" t="s">
        <v>30</v>
      </c>
      <c r="D855" s="13" t="s">
        <v>300</v>
      </c>
      <c r="E855" s="13" t="s">
        <v>1406</v>
      </c>
      <c r="F855" s="11">
        <v>-29.4</v>
      </c>
      <c r="G855" s="11">
        <v>-24.3</v>
      </c>
      <c r="H855" s="11">
        <v>-15.4</v>
      </c>
      <c r="I855" s="11">
        <v>-3.9</v>
      </c>
      <c r="J855" s="11">
        <v>5.3</v>
      </c>
      <c r="K855" s="11">
        <v>13.7</v>
      </c>
      <c r="L855" s="11">
        <v>16.7</v>
      </c>
      <c r="M855" s="11">
        <v>13</v>
      </c>
      <c r="N855" s="11">
        <v>5.7</v>
      </c>
      <c r="O855" s="11">
        <v>-3.6</v>
      </c>
      <c r="P855" s="11">
        <v>-18.2</v>
      </c>
      <c r="Q855" s="11">
        <v>-28.1</v>
      </c>
      <c r="R855" s="10">
        <v>-5.7</v>
      </c>
      <c r="S855" s="12">
        <v>91</v>
      </c>
      <c r="T855" s="8" t="s">
        <v>1408</v>
      </c>
      <c r="U855" s="11">
        <v>-56</v>
      </c>
      <c r="V855" s="11">
        <v>-53</v>
      </c>
      <c r="W855" s="11">
        <v>-51</v>
      </c>
      <c r="X855" s="11">
        <v>-50</v>
      </c>
      <c r="Y855" s="11">
        <v>-34</v>
      </c>
      <c r="Z855" s="11">
        <v>-58</v>
      </c>
      <c r="AA855" s="11">
        <v>11.8</v>
      </c>
      <c r="AB855" s="11">
        <v>206</v>
      </c>
      <c r="AC855" s="11">
        <v>-17.7</v>
      </c>
      <c r="AD855" s="11">
        <v>262</v>
      </c>
      <c r="AE855" s="11">
        <v>-13</v>
      </c>
      <c r="AF855" s="11">
        <v>278</v>
      </c>
      <c r="AG855" s="11">
        <v>-11.8</v>
      </c>
      <c r="AH855" s="11">
        <v>77</v>
      </c>
      <c r="AI855" s="11">
        <v>77</v>
      </c>
      <c r="AJ855" s="11">
        <v>57</v>
      </c>
      <c r="AK855" s="11" t="s">
        <v>39</v>
      </c>
      <c r="AL855" s="11" t="s">
        <v>44</v>
      </c>
      <c r="AM855" s="10" t="s">
        <v>44</v>
      </c>
      <c r="AN855" s="9">
        <v>91</v>
      </c>
      <c r="AO855" s="8" t="s">
        <v>1407</v>
      </c>
      <c r="AP855" s="8">
        <v>970</v>
      </c>
      <c r="AQ855" s="8">
        <v>21.7</v>
      </c>
      <c r="AR855" s="8">
        <v>25.9</v>
      </c>
      <c r="AS855" s="8">
        <v>24.1</v>
      </c>
      <c r="AT855" s="8">
        <v>35</v>
      </c>
      <c r="AU855" s="8">
        <v>15.6</v>
      </c>
      <c r="AV855" s="8">
        <v>75</v>
      </c>
      <c r="AW855" s="8">
        <v>56</v>
      </c>
      <c r="AX855" s="8">
        <v>285</v>
      </c>
      <c r="AY855" s="8" t="s">
        <v>64</v>
      </c>
      <c r="AZ855" s="8" t="s">
        <v>43</v>
      </c>
      <c r="BA855" s="7" t="s">
        <v>46</v>
      </c>
      <c r="BB855" s="9">
        <v>75</v>
      </c>
      <c r="BC855" s="8" t="s">
        <v>1406</v>
      </c>
      <c r="BD855" s="8">
        <v>0.7</v>
      </c>
      <c r="BE855" s="8">
        <v>0.8</v>
      </c>
      <c r="BF855" s="8">
        <v>1.4</v>
      </c>
      <c r="BG855" s="8">
        <v>3</v>
      </c>
      <c r="BH855" s="8">
        <v>5.0999999999999996</v>
      </c>
      <c r="BI855" s="8">
        <v>10</v>
      </c>
      <c r="BJ855" s="8">
        <v>13.8</v>
      </c>
      <c r="BK855" s="8">
        <v>11.2</v>
      </c>
      <c r="BL855" s="8">
        <v>6.8</v>
      </c>
      <c r="BM855" s="8">
        <v>3.9</v>
      </c>
      <c r="BN855" s="8">
        <v>1.4</v>
      </c>
      <c r="BO855" s="8">
        <v>0.9</v>
      </c>
      <c r="BP855" s="7">
        <v>4.9000000000000004</v>
      </c>
    </row>
    <row r="856" spans="1:68" ht="14.25" customHeight="1">
      <c r="A856" s="12">
        <v>199</v>
      </c>
      <c r="B856" s="14">
        <v>92</v>
      </c>
      <c r="C856" s="13" t="s">
        <v>30</v>
      </c>
      <c r="D856" s="13" t="s">
        <v>300</v>
      </c>
      <c r="E856" s="13" t="s">
        <v>1403</v>
      </c>
      <c r="F856" s="11">
        <v>-25.4</v>
      </c>
      <c r="G856" s="11">
        <v>-22</v>
      </c>
      <c r="H856" s="11">
        <v>-12.6</v>
      </c>
      <c r="I856" s="11">
        <v>-1.6</v>
      </c>
      <c r="J856" s="11">
        <v>6.3</v>
      </c>
      <c r="K856" s="11">
        <v>14.2</v>
      </c>
      <c r="L856" s="11">
        <v>17.600000000000001</v>
      </c>
      <c r="M856" s="11">
        <v>14.2</v>
      </c>
      <c r="N856" s="11">
        <v>6.6</v>
      </c>
      <c r="O856" s="11">
        <v>-2</v>
      </c>
      <c r="P856" s="11">
        <v>-14.8</v>
      </c>
      <c r="Q856" s="11">
        <v>-23.8</v>
      </c>
      <c r="R856" s="10">
        <v>-3.6</v>
      </c>
      <c r="S856" s="12">
        <v>92</v>
      </c>
      <c r="T856" s="8" t="s">
        <v>1405</v>
      </c>
      <c r="U856" s="11">
        <v>-50</v>
      </c>
      <c r="V856" s="11">
        <v>-49</v>
      </c>
      <c r="W856" s="11">
        <v>-48</v>
      </c>
      <c r="X856" s="11">
        <v>-45</v>
      </c>
      <c r="Y856" s="11">
        <v>-30</v>
      </c>
      <c r="Z856" s="11">
        <v>-59</v>
      </c>
      <c r="AA856" s="11">
        <v>11.8</v>
      </c>
      <c r="AB856" s="11">
        <v>195</v>
      </c>
      <c r="AC856" s="11">
        <v>-15.6</v>
      </c>
      <c r="AD856" s="11">
        <v>255</v>
      </c>
      <c r="AE856" s="11">
        <v>-11</v>
      </c>
      <c r="AF856" s="11">
        <v>270</v>
      </c>
      <c r="AG856" s="11">
        <v>-9.8000000000000007</v>
      </c>
      <c r="AH856" s="11">
        <v>79</v>
      </c>
      <c r="AI856" s="11">
        <v>76</v>
      </c>
      <c r="AJ856" s="11">
        <v>109</v>
      </c>
      <c r="AK856" s="11" t="s">
        <v>66</v>
      </c>
      <c r="AL856" s="11" t="s">
        <v>44</v>
      </c>
      <c r="AM856" s="10">
        <v>1.8</v>
      </c>
      <c r="AN856" s="9">
        <v>92</v>
      </c>
      <c r="AO856" s="8" t="s">
        <v>1404</v>
      </c>
      <c r="AP856" s="8">
        <v>975</v>
      </c>
      <c r="AQ856" s="8">
        <v>23.1</v>
      </c>
      <c r="AR856" s="8">
        <v>27.2</v>
      </c>
      <c r="AS856" s="8">
        <v>25.5</v>
      </c>
      <c r="AT856" s="8">
        <v>38</v>
      </c>
      <c r="AU856" s="8">
        <v>15.3</v>
      </c>
      <c r="AV856" s="8">
        <v>74</v>
      </c>
      <c r="AW856" s="8">
        <v>52</v>
      </c>
      <c r="AX856" s="8">
        <v>336</v>
      </c>
      <c r="AY856" s="8">
        <v>52</v>
      </c>
      <c r="AZ856" s="8" t="s">
        <v>63</v>
      </c>
      <c r="BA856" s="7" t="s">
        <v>46</v>
      </c>
      <c r="BB856" s="9">
        <v>76</v>
      </c>
      <c r="BC856" s="8" t="s">
        <v>1403</v>
      </c>
      <c r="BD856" s="8">
        <v>0.9</v>
      </c>
      <c r="BE856" s="8">
        <v>1.1000000000000001</v>
      </c>
      <c r="BF856" s="8">
        <v>1.8</v>
      </c>
      <c r="BG856" s="8">
        <v>3.6</v>
      </c>
      <c r="BH856" s="8">
        <v>5.8</v>
      </c>
      <c r="BI856" s="8">
        <v>10.8</v>
      </c>
      <c r="BJ856" s="8">
        <v>14.4</v>
      </c>
      <c r="BK856" s="8">
        <v>12.7</v>
      </c>
      <c r="BL856" s="8">
        <v>8</v>
      </c>
      <c r="BM856" s="8">
        <v>4.5999999999999996</v>
      </c>
      <c r="BN856" s="8">
        <v>1.9</v>
      </c>
      <c r="BO856" s="8">
        <v>1.1000000000000001</v>
      </c>
      <c r="BP856" s="7">
        <v>5.6</v>
      </c>
    </row>
    <row r="857" spans="1:68" ht="14.25" customHeight="1">
      <c r="A857" s="12">
        <v>200</v>
      </c>
      <c r="B857" s="14">
        <v>361</v>
      </c>
      <c r="C857" s="13" t="s">
        <v>30</v>
      </c>
      <c r="D857" s="13" t="s">
        <v>86</v>
      </c>
      <c r="E857" s="13" t="s">
        <v>1400</v>
      </c>
      <c r="F857" s="11">
        <v>-29.3</v>
      </c>
      <c r="G857" s="11">
        <v>-22.8</v>
      </c>
      <c r="H857" s="11">
        <v>-12.7</v>
      </c>
      <c r="I857" s="11">
        <v>-0.8</v>
      </c>
      <c r="J857" s="11">
        <v>6.9</v>
      </c>
      <c r="K857" s="11">
        <v>13.3</v>
      </c>
      <c r="L857" s="11">
        <v>17.8</v>
      </c>
      <c r="M857" s="11">
        <v>16.600000000000001</v>
      </c>
      <c r="N857" s="11">
        <v>10.7</v>
      </c>
      <c r="O857" s="11">
        <v>0.7</v>
      </c>
      <c r="P857" s="11">
        <v>-13.8</v>
      </c>
      <c r="Q857" s="11">
        <v>-25.6</v>
      </c>
      <c r="R857" s="10">
        <v>-3.2</v>
      </c>
      <c r="S857" s="12">
        <v>361</v>
      </c>
      <c r="T857" s="8" t="s">
        <v>1402</v>
      </c>
      <c r="U857" s="11">
        <v>-45</v>
      </c>
      <c r="V857" s="11">
        <v>-43</v>
      </c>
      <c r="W857" s="11">
        <v>-43</v>
      </c>
      <c r="X857" s="11">
        <v>-41</v>
      </c>
      <c r="Y857" s="11">
        <v>-34</v>
      </c>
      <c r="Z857" s="11">
        <v>-52</v>
      </c>
      <c r="AA857" s="11">
        <v>14.7</v>
      </c>
      <c r="AB857" s="11">
        <v>183</v>
      </c>
      <c r="AC857" s="11">
        <v>-17.2</v>
      </c>
      <c r="AD857" s="11">
        <v>240</v>
      </c>
      <c r="AE857" s="11">
        <v>-12.2</v>
      </c>
      <c r="AF857" s="11">
        <v>255</v>
      </c>
      <c r="AG857" s="11">
        <v>-10.9</v>
      </c>
      <c r="AH857" s="11">
        <v>77</v>
      </c>
      <c r="AI857" s="11">
        <v>72</v>
      </c>
      <c r="AJ857" s="11">
        <v>65</v>
      </c>
      <c r="AK857" s="11" t="s">
        <v>56</v>
      </c>
      <c r="AL857" s="11" t="s">
        <v>44</v>
      </c>
      <c r="AM857" s="10">
        <v>2.6</v>
      </c>
      <c r="AN857" s="9">
        <v>361</v>
      </c>
      <c r="AO857" s="8" t="s">
        <v>1401</v>
      </c>
      <c r="AP857" s="8">
        <v>1000</v>
      </c>
      <c r="AQ857" s="8">
        <v>22.2</v>
      </c>
      <c r="AR857" s="8">
        <v>26.4</v>
      </c>
      <c r="AS857" s="8">
        <v>24.6</v>
      </c>
      <c r="AT857" s="8">
        <v>37</v>
      </c>
      <c r="AU857" s="8">
        <v>12.8</v>
      </c>
      <c r="AV857" s="8">
        <v>78</v>
      </c>
      <c r="AW857" s="8">
        <v>63</v>
      </c>
      <c r="AX857" s="8">
        <v>410</v>
      </c>
      <c r="AY857" s="8">
        <v>102</v>
      </c>
      <c r="AZ857" s="8" t="s">
        <v>32</v>
      </c>
      <c r="BA857" s="7" t="s">
        <v>46</v>
      </c>
      <c r="BB857" s="9">
        <v>326</v>
      </c>
      <c r="BC857" s="8" t="s">
        <v>1400</v>
      </c>
      <c r="BD857" s="8">
        <v>0.6</v>
      </c>
      <c r="BE857" s="8">
        <v>0.9</v>
      </c>
      <c r="BF857" s="8">
        <v>1.8</v>
      </c>
      <c r="BG857" s="8">
        <v>3.7</v>
      </c>
      <c r="BH857" s="8">
        <v>6.4</v>
      </c>
      <c r="BI857" s="8">
        <v>11</v>
      </c>
      <c r="BJ857" s="8">
        <v>15.9</v>
      </c>
      <c r="BK857" s="8">
        <v>15.6</v>
      </c>
      <c r="BL857" s="8">
        <v>10.4</v>
      </c>
      <c r="BM857" s="8">
        <v>4.8</v>
      </c>
      <c r="BN857" s="8">
        <v>1.9</v>
      </c>
      <c r="BO857" s="8">
        <v>0.8</v>
      </c>
      <c r="BP857" s="7">
        <v>6.2</v>
      </c>
    </row>
    <row r="858" spans="1:68" ht="14.25" customHeight="1">
      <c r="A858" s="12">
        <v>201</v>
      </c>
      <c r="B858" s="14">
        <v>451</v>
      </c>
      <c r="C858" s="13" t="s">
        <v>30</v>
      </c>
      <c r="D858" s="13" t="s">
        <v>230</v>
      </c>
      <c r="E858" s="13" t="s">
        <v>1398</v>
      </c>
      <c r="F858" s="11">
        <v>-13.9</v>
      </c>
      <c r="G858" s="11">
        <v>-14.9</v>
      </c>
      <c r="H858" s="11">
        <v>-12.4</v>
      </c>
      <c r="I858" s="11">
        <v>-6.3</v>
      </c>
      <c r="J858" s="11">
        <v>-0.7</v>
      </c>
      <c r="K858" s="11">
        <v>5.4</v>
      </c>
      <c r="L858" s="11">
        <v>9.9</v>
      </c>
      <c r="M858" s="11">
        <v>10</v>
      </c>
      <c r="N858" s="11">
        <v>6.2</v>
      </c>
      <c r="O858" s="11">
        <v>0.1</v>
      </c>
      <c r="P858" s="11">
        <v>-5.5</v>
      </c>
      <c r="Q858" s="11">
        <v>-10.7</v>
      </c>
      <c r="R858" s="10">
        <v>-2.7</v>
      </c>
      <c r="S858" s="12">
        <v>451</v>
      </c>
      <c r="T858" s="8" t="s">
        <v>1398</v>
      </c>
      <c r="U858" s="11">
        <v>-39</v>
      </c>
      <c r="V858" s="11">
        <v>-38</v>
      </c>
      <c r="W858" s="11">
        <v>-35</v>
      </c>
      <c r="X858" s="11">
        <v>-33</v>
      </c>
      <c r="Y858" s="11">
        <v>-20</v>
      </c>
      <c r="Z858" s="11">
        <v>-43</v>
      </c>
      <c r="AA858" s="11">
        <v>8</v>
      </c>
      <c r="AB858" s="11">
        <v>215</v>
      </c>
      <c r="AC858" s="11">
        <v>-9</v>
      </c>
      <c r="AD858" s="11">
        <v>305</v>
      </c>
      <c r="AE858" s="11">
        <v>-5.0999999999999996</v>
      </c>
      <c r="AF858" s="11">
        <v>350</v>
      </c>
      <c r="AG858" s="11">
        <v>-3.2</v>
      </c>
      <c r="AH858" s="11">
        <v>84</v>
      </c>
      <c r="AI858" s="11">
        <v>84</v>
      </c>
      <c r="AJ858" s="11">
        <v>137</v>
      </c>
      <c r="AK858" s="11" t="s">
        <v>39</v>
      </c>
      <c r="AL858" s="11">
        <v>10.6</v>
      </c>
      <c r="AM858" s="10">
        <v>6.5</v>
      </c>
      <c r="AN858" s="9">
        <v>451</v>
      </c>
      <c r="AO858" s="8" t="s">
        <v>1399</v>
      </c>
      <c r="AP858" s="8">
        <v>1010</v>
      </c>
      <c r="AQ858" s="8">
        <v>11.8</v>
      </c>
      <c r="AR858" s="8">
        <v>16.5</v>
      </c>
      <c r="AS858" s="8">
        <v>14.2</v>
      </c>
      <c r="AT858" s="8">
        <v>31</v>
      </c>
      <c r="AU858" s="8">
        <v>7.6</v>
      </c>
      <c r="AV858" s="8">
        <v>84</v>
      </c>
      <c r="AW858" s="8">
        <v>78</v>
      </c>
      <c r="AX858" s="8">
        <v>302</v>
      </c>
      <c r="AY858" s="8">
        <v>48</v>
      </c>
      <c r="AZ858" s="8" t="s">
        <v>54</v>
      </c>
      <c r="BA858" s="7">
        <v>5.4</v>
      </c>
      <c r="BB858" s="9">
        <v>413</v>
      </c>
      <c r="BC858" s="8" t="s">
        <v>1398</v>
      </c>
      <c r="BD858" s="8">
        <v>2.1</v>
      </c>
      <c r="BE858" s="8">
        <v>2</v>
      </c>
      <c r="BF858" s="8">
        <v>2.5</v>
      </c>
      <c r="BG858" s="8">
        <v>3.6</v>
      </c>
      <c r="BH858" s="8">
        <v>5</v>
      </c>
      <c r="BI858" s="8">
        <v>7.6</v>
      </c>
      <c r="BJ858" s="8">
        <v>10.5</v>
      </c>
      <c r="BK858" s="8">
        <v>10.7</v>
      </c>
      <c r="BL858" s="8">
        <v>8.3000000000000007</v>
      </c>
      <c r="BM858" s="8">
        <v>5.6</v>
      </c>
      <c r="BN858" s="8">
        <v>3.9</v>
      </c>
      <c r="BO858" s="8">
        <v>2.8</v>
      </c>
      <c r="BP858" s="7">
        <v>5.4</v>
      </c>
    </row>
    <row r="859" spans="1:68" ht="14.25" customHeight="1">
      <c r="A859" s="12">
        <v>202</v>
      </c>
      <c r="B859" s="14">
        <v>562</v>
      </c>
      <c r="C859" s="17" t="s">
        <v>208</v>
      </c>
      <c r="D859" s="17" t="s">
        <v>484</v>
      </c>
      <c r="E859" s="13" t="s">
        <v>1396</v>
      </c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0"/>
      <c r="S859" s="16">
        <v>562</v>
      </c>
      <c r="T859" s="8" t="s">
        <v>1396</v>
      </c>
      <c r="U859" s="11">
        <v>-20</v>
      </c>
      <c r="V859" s="11">
        <v>-17</v>
      </c>
      <c r="W859" s="11">
        <v>-15</v>
      </c>
      <c r="X859" s="11">
        <v>-14</v>
      </c>
      <c r="Y859" s="11">
        <v>-6</v>
      </c>
      <c r="Z859" s="11">
        <v>-28</v>
      </c>
      <c r="AA859" s="11">
        <v>10.3</v>
      </c>
      <c r="AB859" s="11">
        <v>0</v>
      </c>
      <c r="AC859" s="11" t="s">
        <v>50</v>
      </c>
      <c r="AD859" s="11">
        <v>106</v>
      </c>
      <c r="AE859" s="11">
        <v>4.0999999999999996</v>
      </c>
      <c r="AF859" s="11">
        <v>128</v>
      </c>
      <c r="AG859" s="11">
        <v>4.9000000000000004</v>
      </c>
      <c r="AH859" s="11" t="s">
        <v>49</v>
      </c>
      <c r="AI859" s="11">
        <v>62</v>
      </c>
      <c r="AJ859" s="11">
        <v>90</v>
      </c>
      <c r="AK859" s="11" t="s">
        <v>27</v>
      </c>
      <c r="AL859" s="11">
        <v>4</v>
      </c>
      <c r="AM859" s="10" t="s">
        <v>44</v>
      </c>
      <c r="AN859" s="9">
        <v>563</v>
      </c>
      <c r="AO859" s="8" t="s">
        <v>1397</v>
      </c>
      <c r="AP859" s="8">
        <v>985</v>
      </c>
      <c r="AQ859" s="8">
        <v>40</v>
      </c>
      <c r="AR859" s="8">
        <v>34</v>
      </c>
      <c r="AS859" s="8">
        <v>37.200000000000003</v>
      </c>
      <c r="AT859" s="8">
        <v>46</v>
      </c>
      <c r="AU859" s="8">
        <v>17.7</v>
      </c>
      <c r="AV859" s="8">
        <v>37</v>
      </c>
      <c r="AW859" s="8">
        <v>20</v>
      </c>
      <c r="AX859" s="8">
        <v>48</v>
      </c>
      <c r="AY859" s="8">
        <v>40</v>
      </c>
      <c r="AZ859" s="8" t="s">
        <v>54</v>
      </c>
      <c r="BA859" s="7">
        <v>1.8</v>
      </c>
      <c r="BB859" s="9"/>
      <c r="BC859" s="8" t="s">
        <v>1396</v>
      </c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7"/>
    </row>
    <row r="860" spans="1:68" ht="14.25" customHeight="1">
      <c r="A860" s="12">
        <v>203</v>
      </c>
      <c r="B860" s="14">
        <v>93</v>
      </c>
      <c r="C860" s="13" t="s">
        <v>30</v>
      </c>
      <c r="D860" s="13" t="s">
        <v>300</v>
      </c>
      <c r="E860" s="13" t="s">
        <v>1393</v>
      </c>
      <c r="F860" s="11">
        <v>-20.6</v>
      </c>
      <c r="G860" s="11">
        <v>-18.100000000000001</v>
      </c>
      <c r="H860" s="11">
        <v>-9.4</v>
      </c>
      <c r="I860" s="11">
        <v>1</v>
      </c>
      <c r="J860" s="11">
        <v>8.5</v>
      </c>
      <c r="K860" s="11">
        <v>14.8</v>
      </c>
      <c r="L860" s="11">
        <v>17.600000000000001</v>
      </c>
      <c r="M860" s="11">
        <v>15</v>
      </c>
      <c r="N860" s="11">
        <v>8.1999999999999993</v>
      </c>
      <c r="O860" s="11">
        <v>0.5</v>
      </c>
      <c r="P860" s="11">
        <v>-10.4</v>
      </c>
      <c r="Q860" s="11">
        <v>-18.399999999999999</v>
      </c>
      <c r="R860" s="10">
        <v>-0.9</v>
      </c>
      <c r="S860" s="12">
        <v>93</v>
      </c>
      <c r="T860" s="8" t="s">
        <v>1395</v>
      </c>
      <c r="U860" s="11">
        <v>-40</v>
      </c>
      <c r="V860" s="11">
        <v>-38</v>
      </c>
      <c r="W860" s="11">
        <v>-38</v>
      </c>
      <c r="X860" s="11">
        <v>-36</v>
      </c>
      <c r="Y860" s="11">
        <v>-26</v>
      </c>
      <c r="Z860" s="11">
        <v>-50</v>
      </c>
      <c r="AA860" s="11">
        <v>10.5</v>
      </c>
      <c r="AB860" s="11">
        <v>177</v>
      </c>
      <c r="AC860" s="11">
        <v>-13</v>
      </c>
      <c r="AD860" s="11">
        <v>240</v>
      </c>
      <c r="AE860" s="11">
        <v>-8.5</v>
      </c>
      <c r="AF860" s="11">
        <v>258</v>
      </c>
      <c r="AG860" s="11">
        <v>-7.3</v>
      </c>
      <c r="AH860" s="11">
        <v>80</v>
      </c>
      <c r="AI860" s="11">
        <v>78</v>
      </c>
      <c r="AJ860" s="11">
        <v>87</v>
      </c>
      <c r="AK860" s="11" t="s">
        <v>27</v>
      </c>
      <c r="AL860" s="11">
        <v>2.9</v>
      </c>
      <c r="AM860" s="10">
        <v>2.2999999999999998</v>
      </c>
      <c r="AN860" s="9">
        <v>93</v>
      </c>
      <c r="AO860" s="8" t="s">
        <v>1394</v>
      </c>
      <c r="AP860" s="8">
        <v>955</v>
      </c>
      <c r="AQ860" s="8">
        <v>21.8</v>
      </c>
      <c r="AR860" s="8">
        <v>25.6</v>
      </c>
      <c r="AS860" s="8">
        <v>24.7</v>
      </c>
      <c r="AT860" s="8">
        <v>36</v>
      </c>
      <c r="AU860" s="8">
        <v>13.4</v>
      </c>
      <c r="AV860" s="8">
        <v>74</v>
      </c>
      <c r="AW860" s="8">
        <v>58</v>
      </c>
      <c r="AX860" s="8">
        <v>402</v>
      </c>
      <c r="AY860" s="8">
        <v>82</v>
      </c>
      <c r="AZ860" s="8" t="s">
        <v>25</v>
      </c>
      <c r="BA860" s="7">
        <v>2.2000000000000002</v>
      </c>
      <c r="BB860" s="9">
        <v>77</v>
      </c>
      <c r="BC860" s="8" t="s">
        <v>1393</v>
      </c>
      <c r="BD860" s="8">
        <v>1.2</v>
      </c>
      <c r="BE860" s="8">
        <v>1.3</v>
      </c>
      <c r="BF860" s="8">
        <v>2.2999999999999998</v>
      </c>
      <c r="BG860" s="8">
        <v>4</v>
      </c>
      <c r="BH860" s="8">
        <v>6.1</v>
      </c>
      <c r="BI860" s="8">
        <v>11.1</v>
      </c>
      <c r="BJ860" s="8">
        <v>14.9</v>
      </c>
      <c r="BK860" s="8">
        <v>13.4</v>
      </c>
      <c r="BL860" s="8">
        <v>8.5</v>
      </c>
      <c r="BM860" s="8">
        <v>4.9000000000000004</v>
      </c>
      <c r="BN860" s="8">
        <v>2.6</v>
      </c>
      <c r="BO860" s="8">
        <v>1.6</v>
      </c>
      <c r="BP860" s="7">
        <v>6</v>
      </c>
    </row>
    <row r="861" spans="1:68" ht="14.25" customHeight="1">
      <c r="A861" s="12">
        <v>204</v>
      </c>
      <c r="B861" s="14">
        <v>241</v>
      </c>
      <c r="C861" s="13" t="s">
        <v>30</v>
      </c>
      <c r="D861" s="13" t="s">
        <v>181</v>
      </c>
      <c r="E861" s="13" t="s">
        <v>1390</v>
      </c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0"/>
      <c r="S861" s="16">
        <v>241</v>
      </c>
      <c r="T861" s="8" t="s">
        <v>1392</v>
      </c>
      <c r="U861" s="11">
        <v>-43</v>
      </c>
      <c r="V861" s="11">
        <v>-40</v>
      </c>
      <c r="W861" s="11">
        <v>-39</v>
      </c>
      <c r="X861" s="11">
        <v>-36</v>
      </c>
      <c r="Y861" s="11">
        <v>-24</v>
      </c>
      <c r="Z861" s="11">
        <v>-46</v>
      </c>
      <c r="AA861" s="11">
        <v>9.4</v>
      </c>
      <c r="AB861" s="11">
        <v>174</v>
      </c>
      <c r="AC861" s="11">
        <v>-12.3</v>
      </c>
      <c r="AD861" s="11">
        <v>225</v>
      </c>
      <c r="AE861" s="11">
        <v>-8.6</v>
      </c>
      <c r="AF861" s="11">
        <v>238</v>
      </c>
      <c r="AG861" s="11">
        <v>-7.7</v>
      </c>
      <c r="AH861" s="11">
        <v>82</v>
      </c>
      <c r="AI861" s="11">
        <v>80</v>
      </c>
      <c r="AJ861" s="11">
        <v>78</v>
      </c>
      <c r="AK861" s="11" t="s">
        <v>39</v>
      </c>
      <c r="AL861" s="11">
        <v>5.2</v>
      </c>
      <c r="AM861" s="10" t="s">
        <v>44</v>
      </c>
      <c r="AN861" s="9">
        <v>241</v>
      </c>
      <c r="AO861" s="8" t="s">
        <v>1391</v>
      </c>
      <c r="AP861" s="8">
        <v>995</v>
      </c>
      <c r="AQ861" s="8">
        <v>22</v>
      </c>
      <c r="AR861" s="8">
        <v>26.2</v>
      </c>
      <c r="AS861" s="8">
        <v>24.4</v>
      </c>
      <c r="AT861" s="8">
        <v>40</v>
      </c>
      <c r="AU861" s="8">
        <v>12</v>
      </c>
      <c r="AV861" s="8">
        <v>68</v>
      </c>
      <c r="AW861" s="8">
        <v>53</v>
      </c>
      <c r="AX861" s="8">
        <v>296</v>
      </c>
      <c r="AY861" s="8" t="s">
        <v>64</v>
      </c>
      <c r="AZ861" s="8" t="s">
        <v>54</v>
      </c>
      <c r="BA861" s="7">
        <v>3.7</v>
      </c>
      <c r="BB861" s="9"/>
      <c r="BC861" s="8" t="s">
        <v>1390</v>
      </c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7"/>
    </row>
    <row r="862" spans="1:68" ht="14.25" customHeight="1">
      <c r="A862" s="12">
        <v>205</v>
      </c>
      <c r="B862" s="14">
        <v>417</v>
      </c>
      <c r="C862" s="13" t="s">
        <v>30</v>
      </c>
      <c r="D862" s="13" t="s">
        <v>57</v>
      </c>
      <c r="E862" s="13" t="s">
        <v>1388</v>
      </c>
      <c r="F862" s="11">
        <v>-35.799999999999997</v>
      </c>
      <c r="G862" s="11">
        <v>-31.9</v>
      </c>
      <c r="H862" s="11">
        <v>-20.6</v>
      </c>
      <c r="I862" s="11">
        <v>-5.9</v>
      </c>
      <c r="J862" s="11">
        <v>5.8</v>
      </c>
      <c r="K862" s="11">
        <v>14.3</v>
      </c>
      <c r="L862" s="11">
        <v>17.899999999999999</v>
      </c>
      <c r="M862" s="11">
        <v>14.6</v>
      </c>
      <c r="N862" s="11">
        <v>6.5</v>
      </c>
      <c r="O862" s="11">
        <v>-5.3</v>
      </c>
      <c r="P862" s="11">
        <v>-23.8</v>
      </c>
      <c r="Q862" s="11">
        <v>-33.5</v>
      </c>
      <c r="R862" s="10">
        <v>-8.1</v>
      </c>
      <c r="S862" s="12">
        <v>417</v>
      </c>
      <c r="T862" s="8" t="s">
        <v>1388</v>
      </c>
      <c r="U862" s="11">
        <v>-53</v>
      </c>
      <c r="V862" s="11">
        <v>-52</v>
      </c>
      <c r="W862" s="11">
        <v>-51</v>
      </c>
      <c r="X862" s="11">
        <v>-50</v>
      </c>
      <c r="Y862" s="11">
        <v>-41</v>
      </c>
      <c r="Z862" s="11">
        <v>-54</v>
      </c>
      <c r="AA862" s="11">
        <v>7.6</v>
      </c>
      <c r="AB862" s="11">
        <v>211</v>
      </c>
      <c r="AC862" s="11">
        <v>-22.1</v>
      </c>
      <c r="AD862" s="11">
        <v>256</v>
      </c>
      <c r="AE862" s="11">
        <v>-17.399999999999999</v>
      </c>
      <c r="AF862" s="11">
        <v>271</v>
      </c>
      <c r="AG862" s="11">
        <v>-16</v>
      </c>
      <c r="AH862" s="11">
        <v>75</v>
      </c>
      <c r="AI862" s="11">
        <v>75</v>
      </c>
      <c r="AJ862" s="11">
        <v>59</v>
      </c>
      <c r="AK862" s="11" t="s">
        <v>48</v>
      </c>
      <c r="AL862" s="11">
        <v>5.4</v>
      </c>
      <c r="AM862" s="10">
        <v>2.4</v>
      </c>
      <c r="AN862" s="9">
        <v>417</v>
      </c>
      <c r="AO862" s="8" t="s">
        <v>1389</v>
      </c>
      <c r="AP862" s="8">
        <v>995</v>
      </c>
      <c r="AQ862" s="8">
        <v>21.2</v>
      </c>
      <c r="AR862" s="8">
        <v>25.2</v>
      </c>
      <c r="AS862" s="8">
        <v>24.7</v>
      </c>
      <c r="AT862" s="8">
        <v>37</v>
      </c>
      <c r="AU862" s="8">
        <v>13.3</v>
      </c>
      <c r="AV862" s="8">
        <v>69</v>
      </c>
      <c r="AW862" s="8">
        <v>67</v>
      </c>
      <c r="AX862" s="8">
        <v>238</v>
      </c>
      <c r="AY862" s="8">
        <v>63</v>
      </c>
      <c r="AZ862" s="8" t="s">
        <v>43</v>
      </c>
      <c r="BA862" s="7">
        <v>0</v>
      </c>
      <c r="BB862" s="9">
        <v>381</v>
      </c>
      <c r="BC862" s="8" t="s">
        <v>1388</v>
      </c>
      <c r="BD862" s="8">
        <v>0.3</v>
      </c>
      <c r="BE862" s="8">
        <v>0.4</v>
      </c>
      <c r="BF862" s="8">
        <v>1</v>
      </c>
      <c r="BG862" s="8">
        <v>2.7</v>
      </c>
      <c r="BH862" s="8">
        <v>5.4</v>
      </c>
      <c r="BI862" s="8">
        <v>10.3</v>
      </c>
      <c r="BJ862" s="8">
        <v>14</v>
      </c>
      <c r="BK862" s="8">
        <v>12.4</v>
      </c>
      <c r="BL862" s="8">
        <v>7.3</v>
      </c>
      <c r="BM862" s="8">
        <v>3.4</v>
      </c>
      <c r="BN862" s="8">
        <v>1</v>
      </c>
      <c r="BO862" s="8">
        <v>0.4</v>
      </c>
      <c r="BP862" s="7">
        <v>4.9000000000000004</v>
      </c>
    </row>
    <row r="863" spans="1:68" ht="14.25" customHeight="1">
      <c r="A863" s="12">
        <v>206</v>
      </c>
      <c r="B863" s="14">
        <v>575</v>
      </c>
      <c r="C863" s="13" t="s">
        <v>135</v>
      </c>
      <c r="D863" s="13" t="s">
        <v>227</v>
      </c>
      <c r="E863" s="13" t="s">
        <v>1386</v>
      </c>
      <c r="F863" s="11">
        <v>-1.5</v>
      </c>
      <c r="G863" s="11">
        <v>1.2</v>
      </c>
      <c r="H863" s="11">
        <v>7.1</v>
      </c>
      <c r="I863" s="11">
        <v>14.6</v>
      </c>
      <c r="J863" s="11">
        <v>20</v>
      </c>
      <c r="K863" s="11">
        <v>24.4</v>
      </c>
      <c r="L863" s="11">
        <v>26.6</v>
      </c>
      <c r="M863" s="11">
        <v>24.9</v>
      </c>
      <c r="N863" s="11">
        <v>19.600000000000001</v>
      </c>
      <c r="O863" s="11">
        <v>12.5</v>
      </c>
      <c r="P863" s="11">
        <v>5.4</v>
      </c>
      <c r="Q863" s="11">
        <v>0.6</v>
      </c>
      <c r="R863" s="10">
        <v>13</v>
      </c>
      <c r="S863" s="15"/>
      <c r="T863" s="8" t="s">
        <v>1387</v>
      </c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0"/>
      <c r="AN863" s="9"/>
      <c r="AO863" s="8" t="s">
        <v>1387</v>
      </c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7"/>
      <c r="BB863" s="9"/>
      <c r="BC863" s="8" t="s">
        <v>1386</v>
      </c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7"/>
    </row>
    <row r="864" spans="1:68" ht="14.25" customHeight="1">
      <c r="A864" s="12">
        <v>207</v>
      </c>
      <c r="B864" s="14">
        <v>113</v>
      </c>
      <c r="C864" s="13" t="s">
        <v>30</v>
      </c>
      <c r="D864" s="13" t="s">
        <v>293</v>
      </c>
      <c r="E864" s="13" t="s">
        <v>1383</v>
      </c>
      <c r="F864" s="11">
        <v>-12</v>
      </c>
      <c r="G864" s="11">
        <v>-12.6</v>
      </c>
      <c r="H864" s="11">
        <v>-9.3000000000000007</v>
      </c>
      <c r="I864" s="11">
        <v>-3.2</v>
      </c>
      <c r="J864" s="11">
        <v>2.1</v>
      </c>
      <c r="K864" s="11">
        <v>6.3</v>
      </c>
      <c r="L864" s="11">
        <v>10.3</v>
      </c>
      <c r="M864" s="11">
        <v>11.4</v>
      </c>
      <c r="N864" s="11">
        <v>8.6999999999999993</v>
      </c>
      <c r="O864" s="11">
        <v>3.1</v>
      </c>
      <c r="P864" s="11">
        <v>-4</v>
      </c>
      <c r="Q864" s="11">
        <v>-9</v>
      </c>
      <c r="R864" s="10">
        <v>-0.7</v>
      </c>
      <c r="S864" s="12">
        <v>113</v>
      </c>
      <c r="T864" s="8" t="s">
        <v>1385</v>
      </c>
      <c r="U864" s="11">
        <v>-30</v>
      </c>
      <c r="V864" s="11">
        <v>-28</v>
      </c>
      <c r="W864" s="11">
        <v>-27</v>
      </c>
      <c r="X864" s="11">
        <v>-25</v>
      </c>
      <c r="Y864" s="11">
        <v>-18</v>
      </c>
      <c r="Z864" s="11">
        <v>-36</v>
      </c>
      <c r="AA864" s="11">
        <v>7.5</v>
      </c>
      <c r="AB864" s="11">
        <v>187</v>
      </c>
      <c r="AC864" s="11">
        <v>-7.8</v>
      </c>
      <c r="AD864" s="11">
        <v>282</v>
      </c>
      <c r="AE864" s="11">
        <v>-3.8</v>
      </c>
      <c r="AF864" s="11">
        <v>316</v>
      </c>
      <c r="AG864" s="11">
        <v>-2.4</v>
      </c>
      <c r="AH864" s="11">
        <v>78</v>
      </c>
      <c r="AI864" s="11">
        <v>75</v>
      </c>
      <c r="AJ864" s="11">
        <v>349</v>
      </c>
      <c r="AK864" s="11" t="s">
        <v>199</v>
      </c>
      <c r="AL864" s="11" t="s">
        <v>44</v>
      </c>
      <c r="AM864" s="10" t="s">
        <v>44</v>
      </c>
      <c r="AN864" s="9">
        <v>113</v>
      </c>
      <c r="AO864" s="8" t="s">
        <v>1384</v>
      </c>
      <c r="AP864" s="8">
        <v>1010</v>
      </c>
      <c r="AQ864" s="8">
        <v>12.5</v>
      </c>
      <c r="AR864" s="8">
        <v>14.2</v>
      </c>
      <c r="AS864" s="8">
        <v>14.1</v>
      </c>
      <c r="AT864" s="8">
        <v>29</v>
      </c>
      <c r="AU864" s="8">
        <v>5</v>
      </c>
      <c r="AV864" s="8">
        <v>91</v>
      </c>
      <c r="AW864" s="8">
        <v>86</v>
      </c>
      <c r="AX864" s="8">
        <v>578</v>
      </c>
      <c r="AY864" s="8">
        <v>105</v>
      </c>
      <c r="AZ864" s="8" t="s">
        <v>151</v>
      </c>
      <c r="BA864" s="7" t="s">
        <v>46</v>
      </c>
      <c r="BB864" s="9">
        <v>97</v>
      </c>
      <c r="BC864" s="8" t="s">
        <v>1383</v>
      </c>
      <c r="BD864" s="8">
        <v>2.2000000000000002</v>
      </c>
      <c r="BE864" s="8">
        <v>1.9</v>
      </c>
      <c r="BF864" s="8">
        <v>2.5</v>
      </c>
      <c r="BG864" s="8">
        <v>4.0999999999999996</v>
      </c>
      <c r="BH864" s="8">
        <v>6.1</v>
      </c>
      <c r="BI864" s="8">
        <v>8.6</v>
      </c>
      <c r="BJ864" s="8">
        <v>11.6</v>
      </c>
      <c r="BK864" s="8">
        <v>12.4</v>
      </c>
      <c r="BL864" s="8">
        <v>9.9</v>
      </c>
      <c r="BM864" s="8">
        <v>6.4</v>
      </c>
      <c r="BN864" s="8">
        <v>4</v>
      </c>
      <c r="BO864" s="8">
        <v>2.6</v>
      </c>
      <c r="BP864" s="7">
        <v>6</v>
      </c>
    </row>
    <row r="865" spans="1:68" ht="14.25" customHeight="1">
      <c r="A865" s="12">
        <v>208</v>
      </c>
      <c r="B865" s="14">
        <v>94</v>
      </c>
      <c r="C865" s="13" t="s">
        <v>30</v>
      </c>
      <c r="D865" s="13" t="s">
        <v>300</v>
      </c>
      <c r="E865" s="13" t="s">
        <v>1380</v>
      </c>
      <c r="F865" s="11">
        <v>-28.2</v>
      </c>
      <c r="G865" s="11">
        <v>-25.4</v>
      </c>
      <c r="H865" s="11">
        <v>-14.6</v>
      </c>
      <c r="I865" s="11">
        <v>-2.7</v>
      </c>
      <c r="J865" s="11">
        <v>6.4</v>
      </c>
      <c r="K865" s="11">
        <v>14.6</v>
      </c>
      <c r="L865" s="11">
        <v>17.600000000000001</v>
      </c>
      <c r="M865" s="11">
        <v>14</v>
      </c>
      <c r="N865" s="11">
        <v>6.6</v>
      </c>
      <c r="O865" s="11">
        <v>-3</v>
      </c>
      <c r="P865" s="11">
        <v>-17.600000000000001</v>
      </c>
      <c r="Q865" s="11">
        <v>-26.7</v>
      </c>
      <c r="R865" s="10">
        <v>-4.9000000000000004</v>
      </c>
      <c r="S865" s="12">
        <v>94</v>
      </c>
      <c r="T865" s="8" t="s">
        <v>1382</v>
      </c>
      <c r="U865" s="11">
        <v>-56</v>
      </c>
      <c r="V865" s="11">
        <v>-54</v>
      </c>
      <c r="W865" s="11">
        <v>-53</v>
      </c>
      <c r="X865" s="11">
        <v>-50</v>
      </c>
      <c r="Y865" s="11">
        <v>-33</v>
      </c>
      <c r="Z865" s="11">
        <v>-60</v>
      </c>
      <c r="AA865" s="11">
        <v>11.9</v>
      </c>
      <c r="AB865" s="11">
        <v>200</v>
      </c>
      <c r="AC865" s="11">
        <v>-17.5</v>
      </c>
      <c r="AD865" s="11">
        <v>254</v>
      </c>
      <c r="AE865" s="11">
        <v>-12.9</v>
      </c>
      <c r="AF865" s="11">
        <v>270</v>
      </c>
      <c r="AG865" s="11">
        <v>-11.6</v>
      </c>
      <c r="AH865" s="11">
        <v>78</v>
      </c>
      <c r="AI865" s="11">
        <v>76</v>
      </c>
      <c r="AJ865" s="11">
        <v>131</v>
      </c>
      <c r="AK865" s="11" t="s">
        <v>34</v>
      </c>
      <c r="AL865" s="11" t="s">
        <v>44</v>
      </c>
      <c r="AM865" s="10">
        <v>1.6</v>
      </c>
      <c r="AN865" s="9">
        <v>94</v>
      </c>
      <c r="AO865" s="8" t="s">
        <v>1381</v>
      </c>
      <c r="AP865" s="8">
        <v>980</v>
      </c>
      <c r="AQ865" s="8">
        <v>22.7</v>
      </c>
      <c r="AR865" s="8">
        <v>26.8</v>
      </c>
      <c r="AS865" s="8">
        <v>25.1</v>
      </c>
      <c r="AT865" s="8">
        <v>36</v>
      </c>
      <c r="AU865" s="8">
        <v>14.2</v>
      </c>
      <c r="AV865" s="8">
        <v>74</v>
      </c>
      <c r="AW865" s="8">
        <v>52</v>
      </c>
      <c r="AX865" s="8">
        <v>351</v>
      </c>
      <c r="AY865" s="8" t="s">
        <v>64</v>
      </c>
      <c r="AZ865" s="8" t="s">
        <v>32</v>
      </c>
      <c r="BA865" s="7" t="s">
        <v>46</v>
      </c>
      <c r="BB865" s="9">
        <v>78</v>
      </c>
      <c r="BC865" s="8" t="s">
        <v>1380</v>
      </c>
      <c r="BD865" s="8">
        <v>0.8</v>
      </c>
      <c r="BE865" s="8">
        <v>0.9</v>
      </c>
      <c r="BF865" s="8">
        <v>1.6</v>
      </c>
      <c r="BG865" s="8">
        <v>3.2</v>
      </c>
      <c r="BH865" s="8">
        <v>5.7</v>
      </c>
      <c r="BI865" s="8">
        <v>10.7</v>
      </c>
      <c r="BJ865" s="8">
        <v>14.8</v>
      </c>
      <c r="BK865" s="8">
        <v>12.9</v>
      </c>
      <c r="BL865" s="8">
        <v>8</v>
      </c>
      <c r="BM865" s="8">
        <v>4.2</v>
      </c>
      <c r="BN865" s="8">
        <v>1.7</v>
      </c>
      <c r="BO865" s="8">
        <v>0.9</v>
      </c>
      <c r="BP865" s="7">
        <v>5.5</v>
      </c>
    </row>
    <row r="866" spans="1:68" ht="14.25" customHeight="1">
      <c r="A866" s="12">
        <v>209</v>
      </c>
      <c r="B866" s="14">
        <v>418</v>
      </c>
      <c r="C866" s="13" t="s">
        <v>30</v>
      </c>
      <c r="D866" s="13" t="s">
        <v>57</v>
      </c>
      <c r="E866" s="13" t="s">
        <v>1378</v>
      </c>
      <c r="F866" s="11">
        <v>-45.5</v>
      </c>
      <c r="G866" s="11">
        <v>-42.3</v>
      </c>
      <c r="H866" s="11">
        <v>-31.8</v>
      </c>
      <c r="I866" s="11">
        <v>-16.600000000000001</v>
      </c>
      <c r="J866" s="11">
        <v>-1</v>
      </c>
      <c r="K866" s="11">
        <v>8.9</v>
      </c>
      <c r="L866" s="11">
        <v>12.7</v>
      </c>
      <c r="M866" s="11">
        <v>10.3</v>
      </c>
      <c r="N866" s="11">
        <v>2</v>
      </c>
      <c r="O866" s="11">
        <v>-14.8</v>
      </c>
      <c r="P866" s="11">
        <v>-35.4</v>
      </c>
      <c r="Q866" s="11">
        <v>-42.7</v>
      </c>
      <c r="R866" s="10">
        <v>-16.399999999999999</v>
      </c>
      <c r="S866" s="12">
        <v>418</v>
      </c>
      <c r="T866" s="8" t="s">
        <v>1378</v>
      </c>
      <c r="U866" s="11">
        <v>-61</v>
      </c>
      <c r="V866" s="11">
        <v>-60</v>
      </c>
      <c r="W866" s="11">
        <v>-59</v>
      </c>
      <c r="X866" s="11">
        <v>-57</v>
      </c>
      <c r="Y866" s="11">
        <v>-51</v>
      </c>
      <c r="Z866" s="11">
        <v>-63</v>
      </c>
      <c r="AA866" s="11">
        <v>7.4</v>
      </c>
      <c r="AB866" s="11">
        <v>242</v>
      </c>
      <c r="AC866" s="11">
        <v>-28.6</v>
      </c>
      <c r="AD866" s="11">
        <v>292</v>
      </c>
      <c r="AE866" s="11">
        <v>-22.9</v>
      </c>
      <c r="AF866" s="11">
        <v>311</v>
      </c>
      <c r="AG866" s="11">
        <v>-21</v>
      </c>
      <c r="AH866" s="11">
        <v>73</v>
      </c>
      <c r="AI866" s="11">
        <v>73</v>
      </c>
      <c r="AJ866" s="11">
        <v>38</v>
      </c>
      <c r="AK866" s="11" t="s">
        <v>75</v>
      </c>
      <c r="AL866" s="11" t="s">
        <v>44</v>
      </c>
      <c r="AM866" s="10">
        <v>1.2</v>
      </c>
      <c r="AN866" s="9">
        <v>418</v>
      </c>
      <c r="AO866" s="8" t="s">
        <v>1379</v>
      </c>
      <c r="AP866" s="8">
        <v>925</v>
      </c>
      <c r="AQ866" s="8">
        <v>17.2</v>
      </c>
      <c r="AR866" s="8">
        <v>21.6</v>
      </c>
      <c r="AS866" s="8">
        <v>19.600000000000001</v>
      </c>
      <c r="AT866" s="8">
        <v>32</v>
      </c>
      <c r="AU866" s="8">
        <v>13.9</v>
      </c>
      <c r="AV866" s="8">
        <v>69</v>
      </c>
      <c r="AW866" s="8">
        <v>56</v>
      </c>
      <c r="AX866" s="8">
        <v>236</v>
      </c>
      <c r="AY866" s="8">
        <v>69</v>
      </c>
      <c r="AZ866" s="8" t="s">
        <v>54</v>
      </c>
      <c r="BA866" s="7" t="s">
        <v>46</v>
      </c>
      <c r="BB866" s="9">
        <v>382</v>
      </c>
      <c r="BC866" s="8" t="s">
        <v>1378</v>
      </c>
      <c r="BD866" s="8">
        <v>0.1</v>
      </c>
      <c r="BE866" s="8">
        <v>0.2</v>
      </c>
      <c r="BF866" s="8">
        <v>0.5</v>
      </c>
      <c r="BG866" s="8">
        <v>1.5</v>
      </c>
      <c r="BH866" s="8">
        <v>4.2</v>
      </c>
      <c r="BI866" s="8">
        <v>7.5</v>
      </c>
      <c r="BJ866" s="8">
        <v>9.9</v>
      </c>
      <c r="BK866" s="8">
        <v>8.9</v>
      </c>
      <c r="BL866" s="8">
        <v>5.4</v>
      </c>
      <c r="BM866" s="8">
        <v>2</v>
      </c>
      <c r="BN866" s="8">
        <v>0.3</v>
      </c>
      <c r="BO866" s="8">
        <v>0.2</v>
      </c>
      <c r="BP866" s="7">
        <v>3.4</v>
      </c>
    </row>
    <row r="867" spans="1:68" ht="14.25" customHeight="1">
      <c r="A867" s="12">
        <v>210</v>
      </c>
      <c r="B867" s="14">
        <v>208</v>
      </c>
      <c r="C867" s="13" t="s">
        <v>30</v>
      </c>
      <c r="D867" s="13" t="s">
        <v>1377</v>
      </c>
      <c r="E867" s="13" t="s">
        <v>1374</v>
      </c>
      <c r="F867" s="11">
        <v>-14</v>
      </c>
      <c r="G867" s="11">
        <v>-12.9</v>
      </c>
      <c r="H867" s="11">
        <v>-6.4</v>
      </c>
      <c r="I867" s="11">
        <v>3.6</v>
      </c>
      <c r="J867" s="11">
        <v>11.6</v>
      </c>
      <c r="K867" s="11">
        <v>16.2</v>
      </c>
      <c r="L867" s="11">
        <v>18</v>
      </c>
      <c r="M867" s="11">
        <v>16.2</v>
      </c>
      <c r="N867" s="11">
        <v>10.199999999999999</v>
      </c>
      <c r="O867" s="11">
        <v>2.7</v>
      </c>
      <c r="P867" s="11">
        <v>-4.3</v>
      </c>
      <c r="Q867" s="11">
        <v>-9.8000000000000007</v>
      </c>
      <c r="R867" s="10">
        <v>2.6</v>
      </c>
      <c r="S867" s="12">
        <v>208</v>
      </c>
      <c r="T867" s="8" t="s">
        <v>1376</v>
      </c>
      <c r="U867" s="11">
        <v>-42</v>
      </c>
      <c r="V867" s="11">
        <v>-39</v>
      </c>
      <c r="W867" s="11">
        <v>-38</v>
      </c>
      <c r="X867" s="11">
        <v>-34</v>
      </c>
      <c r="Y867" s="11">
        <v>-19</v>
      </c>
      <c r="Z867" s="11">
        <v>-47</v>
      </c>
      <c r="AA867" s="11">
        <v>8</v>
      </c>
      <c r="AB867" s="11">
        <v>159</v>
      </c>
      <c r="AC867" s="11">
        <v>-8.6</v>
      </c>
      <c r="AD867" s="11">
        <v>220</v>
      </c>
      <c r="AE867" s="11">
        <v>-5.0999999999999996</v>
      </c>
      <c r="AF867" s="11">
        <v>236</v>
      </c>
      <c r="AG867" s="11">
        <v>-4.0999999999999996</v>
      </c>
      <c r="AH867" s="11">
        <v>83</v>
      </c>
      <c r="AI867" s="11">
        <v>82</v>
      </c>
      <c r="AJ867" s="11">
        <v>151</v>
      </c>
      <c r="AK867" s="11" t="s">
        <v>34</v>
      </c>
      <c r="AL867" s="11">
        <v>6.2</v>
      </c>
      <c r="AM867" s="10">
        <v>4.7</v>
      </c>
      <c r="AN867" s="9">
        <v>208</v>
      </c>
      <c r="AO867" s="8" t="s">
        <v>1375</v>
      </c>
      <c r="AP867" s="8">
        <v>1000</v>
      </c>
      <c r="AQ867" s="8">
        <v>21.8</v>
      </c>
      <c r="AR867" s="8">
        <v>25.8</v>
      </c>
      <c r="AS867" s="8">
        <v>24</v>
      </c>
      <c r="AT867" s="8">
        <v>39</v>
      </c>
      <c r="AU867" s="8">
        <v>11.6</v>
      </c>
      <c r="AV867" s="8">
        <v>73</v>
      </c>
      <c r="AW867" s="8">
        <v>55</v>
      </c>
      <c r="AX867" s="8">
        <v>387</v>
      </c>
      <c r="AY867" s="8">
        <v>57</v>
      </c>
      <c r="AZ867" s="8" t="s">
        <v>43</v>
      </c>
      <c r="BA867" s="7">
        <v>0</v>
      </c>
      <c r="BB867" s="9">
        <v>183</v>
      </c>
      <c r="BC867" s="8" t="s">
        <v>1374</v>
      </c>
      <c r="BD867" s="8">
        <v>2.2000000000000002</v>
      </c>
      <c r="BE867" s="8">
        <v>2.2000000000000002</v>
      </c>
      <c r="BF867" s="8">
        <v>3.3</v>
      </c>
      <c r="BG867" s="8">
        <v>6</v>
      </c>
      <c r="BH867" s="8">
        <v>9</v>
      </c>
      <c r="BI867" s="8">
        <v>12.5</v>
      </c>
      <c r="BJ867" s="8">
        <v>15</v>
      </c>
      <c r="BK867" s="8">
        <v>13.8</v>
      </c>
      <c r="BL867" s="8">
        <v>10.1</v>
      </c>
      <c r="BM867" s="8">
        <v>6.4</v>
      </c>
      <c r="BN867" s="8">
        <v>4.2</v>
      </c>
      <c r="BO867" s="8">
        <v>3</v>
      </c>
      <c r="BP867" s="7">
        <v>7.3</v>
      </c>
    </row>
    <row r="868" spans="1:68" ht="14.25" customHeight="1">
      <c r="A868" s="12">
        <v>211</v>
      </c>
      <c r="B868" s="14">
        <v>521</v>
      </c>
      <c r="C868" s="13" t="s">
        <v>121</v>
      </c>
      <c r="D868" s="13" t="s">
        <v>1289</v>
      </c>
      <c r="E868" s="13" t="s">
        <v>1372</v>
      </c>
      <c r="F868" s="11">
        <v>-10.8</v>
      </c>
      <c r="G868" s="11">
        <v>-9.9</v>
      </c>
      <c r="H868" s="11">
        <v>-1.5</v>
      </c>
      <c r="I868" s="11">
        <v>10.5</v>
      </c>
      <c r="J868" s="11">
        <v>18.899999999999999</v>
      </c>
      <c r="K868" s="11">
        <v>24.1</v>
      </c>
      <c r="L868" s="11">
        <v>26.3</v>
      </c>
      <c r="M868" s="11">
        <v>23.9</v>
      </c>
      <c r="N868" s="11">
        <v>17.100000000000001</v>
      </c>
      <c r="O868" s="11">
        <v>8.1999999999999993</v>
      </c>
      <c r="P868" s="11">
        <v>-0.4</v>
      </c>
      <c r="Q868" s="11">
        <v>-7.2</v>
      </c>
      <c r="R868" s="10">
        <v>8.1999999999999993</v>
      </c>
      <c r="S868" s="12">
        <v>521</v>
      </c>
      <c r="T868" s="8" t="s">
        <v>1372</v>
      </c>
      <c r="U868" s="11">
        <v>-32</v>
      </c>
      <c r="V868" s="11">
        <v>-30</v>
      </c>
      <c r="W868" s="11">
        <v>-28</v>
      </c>
      <c r="X868" s="11">
        <v>-25</v>
      </c>
      <c r="Y868" s="11" t="s">
        <v>49</v>
      </c>
      <c r="Z868" s="11">
        <v>-40</v>
      </c>
      <c r="AA868" s="11">
        <v>8.6</v>
      </c>
      <c r="AB868" s="11">
        <v>128</v>
      </c>
      <c r="AC868" s="11">
        <v>-7.3</v>
      </c>
      <c r="AD868" s="11">
        <v>175</v>
      </c>
      <c r="AE868" s="11">
        <v>-4.3</v>
      </c>
      <c r="AF868" s="11">
        <v>186</v>
      </c>
      <c r="AG868" s="11">
        <v>-3.3</v>
      </c>
      <c r="AH868" s="11">
        <v>79</v>
      </c>
      <c r="AI868" s="11" t="s">
        <v>49</v>
      </c>
      <c r="AJ868" s="11">
        <v>72</v>
      </c>
      <c r="AK868" s="11" t="s">
        <v>199</v>
      </c>
      <c r="AL868" s="11">
        <v>3</v>
      </c>
      <c r="AM868" s="10">
        <v>3.4</v>
      </c>
      <c r="AN868" s="9">
        <v>521</v>
      </c>
      <c r="AO868" s="8" t="s">
        <v>1373</v>
      </c>
      <c r="AP868" s="8">
        <v>1010</v>
      </c>
      <c r="AQ868" s="8" t="s">
        <v>45</v>
      </c>
      <c r="AR868" s="8" t="s">
        <v>44</v>
      </c>
      <c r="AS868" s="8">
        <v>32.9</v>
      </c>
      <c r="AT868" s="8">
        <v>44</v>
      </c>
      <c r="AU868" s="8">
        <v>14</v>
      </c>
      <c r="AV868" s="8">
        <v>44</v>
      </c>
      <c r="AW868" s="8" t="s">
        <v>44</v>
      </c>
      <c r="AX868" s="8">
        <v>73</v>
      </c>
      <c r="AY868" s="8" t="s">
        <v>64</v>
      </c>
      <c r="AZ868" s="8" t="s">
        <v>54</v>
      </c>
      <c r="BA868" s="7">
        <v>2.5</v>
      </c>
      <c r="BB868" s="9"/>
      <c r="BC868" s="8" t="s">
        <v>1372</v>
      </c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7"/>
    </row>
    <row r="869" spans="1:68" ht="14.25" customHeight="1">
      <c r="A869" s="12">
        <v>212</v>
      </c>
      <c r="B869" s="14">
        <v>555</v>
      </c>
      <c r="C869" s="17" t="s">
        <v>208</v>
      </c>
      <c r="D869" s="17" t="s">
        <v>217</v>
      </c>
      <c r="E869" s="13" t="s">
        <v>1370</v>
      </c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0"/>
      <c r="S869" s="16">
        <v>555</v>
      </c>
      <c r="T869" s="8" t="s">
        <v>1370</v>
      </c>
      <c r="U869" s="11">
        <v>-20</v>
      </c>
      <c r="V869" s="11">
        <v>-16</v>
      </c>
      <c r="W869" s="11">
        <v>-14</v>
      </c>
      <c r="X869" s="11">
        <v>-13</v>
      </c>
      <c r="Y869" s="11">
        <v>-2</v>
      </c>
      <c r="Z869" s="11">
        <v>-29</v>
      </c>
      <c r="AA869" s="11">
        <v>8.1999999999999993</v>
      </c>
      <c r="AB869" s="11">
        <v>0</v>
      </c>
      <c r="AC869" s="11" t="s">
        <v>50</v>
      </c>
      <c r="AD869" s="11">
        <v>114</v>
      </c>
      <c r="AE869" s="11">
        <v>3.2</v>
      </c>
      <c r="AF869" s="11">
        <v>131</v>
      </c>
      <c r="AG869" s="11">
        <v>4</v>
      </c>
      <c r="AH869" s="11" t="s">
        <v>49</v>
      </c>
      <c r="AI869" s="11">
        <v>68</v>
      </c>
      <c r="AJ869" s="11">
        <v>109</v>
      </c>
      <c r="AK869" s="11" t="s">
        <v>66</v>
      </c>
      <c r="AL869" s="11">
        <v>6.4</v>
      </c>
      <c r="AM869" s="10" t="s">
        <v>44</v>
      </c>
      <c r="AN869" s="9">
        <v>556</v>
      </c>
      <c r="AO869" s="8" t="s">
        <v>1371</v>
      </c>
      <c r="AP869" s="8">
        <v>1010</v>
      </c>
      <c r="AQ869" s="8">
        <v>41</v>
      </c>
      <c r="AR869" s="8">
        <v>35</v>
      </c>
      <c r="AS869" s="8">
        <v>38.5</v>
      </c>
      <c r="AT869" s="8">
        <v>48</v>
      </c>
      <c r="AU869" s="8">
        <v>13.1</v>
      </c>
      <c r="AV869" s="8">
        <v>33</v>
      </c>
      <c r="AW869" s="8">
        <v>21</v>
      </c>
      <c r="AX869" s="8">
        <v>76</v>
      </c>
      <c r="AY869" s="8">
        <v>62</v>
      </c>
      <c r="AZ869" s="8" t="s">
        <v>63</v>
      </c>
      <c r="BA869" s="7">
        <v>1.9</v>
      </c>
      <c r="BB869" s="9"/>
      <c r="BC869" s="8" t="s">
        <v>1370</v>
      </c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7"/>
    </row>
    <row r="870" spans="1:68" ht="14.25" customHeight="1">
      <c r="A870" s="12">
        <v>213</v>
      </c>
      <c r="B870" s="14">
        <v>313</v>
      </c>
      <c r="C870" s="13" t="s">
        <v>30</v>
      </c>
      <c r="D870" s="13" t="s">
        <v>1369</v>
      </c>
      <c r="E870" s="13" t="s">
        <v>1366</v>
      </c>
      <c r="F870" s="11">
        <v>-13.5</v>
      </c>
      <c r="G870" s="11">
        <v>-13.1</v>
      </c>
      <c r="H870" s="11">
        <v>-6.5</v>
      </c>
      <c r="I870" s="11">
        <v>3.7</v>
      </c>
      <c r="J870" s="11">
        <v>12.4</v>
      </c>
      <c r="K870" s="11">
        <v>17</v>
      </c>
      <c r="L870" s="11">
        <v>19.100000000000001</v>
      </c>
      <c r="M870" s="11">
        <v>17.5</v>
      </c>
      <c r="N870" s="11">
        <v>11.2</v>
      </c>
      <c r="O870" s="11">
        <v>3.4</v>
      </c>
      <c r="P870" s="11">
        <v>-3.8</v>
      </c>
      <c r="Q870" s="11">
        <v>-10.4</v>
      </c>
      <c r="R870" s="10">
        <v>3.1</v>
      </c>
      <c r="S870" s="12">
        <v>313</v>
      </c>
      <c r="T870" s="8" t="s">
        <v>1368</v>
      </c>
      <c r="U870" s="11">
        <v>-41</v>
      </c>
      <c r="V870" s="11">
        <v>-36</v>
      </c>
      <c r="W870" s="11">
        <v>-36</v>
      </c>
      <c r="X870" s="11">
        <v>-32</v>
      </c>
      <c r="Y870" s="11">
        <v>-18</v>
      </c>
      <c r="Z870" s="11">
        <v>-47</v>
      </c>
      <c r="AA870" s="11">
        <v>6.8</v>
      </c>
      <c r="AB870" s="11">
        <v>156</v>
      </c>
      <c r="AC870" s="11">
        <v>-8.6999999999999993</v>
      </c>
      <c r="AD870" s="11">
        <v>215</v>
      </c>
      <c r="AE870" s="11">
        <v>-5.2</v>
      </c>
      <c r="AF870" s="11">
        <v>229</v>
      </c>
      <c r="AG870" s="11">
        <v>-4.3</v>
      </c>
      <c r="AH870" s="11">
        <v>83</v>
      </c>
      <c r="AI870" s="11">
        <v>79</v>
      </c>
      <c r="AJ870" s="11">
        <v>135</v>
      </c>
      <c r="AK870" s="11" t="s">
        <v>34</v>
      </c>
      <c r="AL870" s="11">
        <v>5.7</v>
      </c>
      <c r="AM870" s="10">
        <v>4.3</v>
      </c>
      <c r="AN870" s="9">
        <v>313</v>
      </c>
      <c r="AO870" s="8" t="s">
        <v>1367</v>
      </c>
      <c r="AP870" s="8">
        <v>1000</v>
      </c>
      <c r="AQ870" s="8">
        <v>23.5</v>
      </c>
      <c r="AR870" s="8">
        <v>27.2</v>
      </c>
      <c r="AS870" s="8">
        <v>24.7</v>
      </c>
      <c r="AT870" s="8">
        <v>38</v>
      </c>
      <c r="AU870" s="8">
        <v>10.8</v>
      </c>
      <c r="AV870" s="8">
        <v>69</v>
      </c>
      <c r="AW870" s="8">
        <v>56</v>
      </c>
      <c r="AX870" s="8">
        <v>373</v>
      </c>
      <c r="AY870" s="8">
        <v>75</v>
      </c>
      <c r="AZ870" s="8" t="s">
        <v>54</v>
      </c>
      <c r="BA870" s="7">
        <v>3.8</v>
      </c>
      <c r="BB870" s="9">
        <v>281</v>
      </c>
      <c r="BC870" s="8" t="s">
        <v>1366</v>
      </c>
      <c r="BD870" s="8">
        <v>2.1</v>
      </c>
      <c r="BE870" s="8">
        <v>2.2000000000000002</v>
      </c>
      <c r="BF870" s="8">
        <v>3.4</v>
      </c>
      <c r="BG870" s="8">
        <v>6.1</v>
      </c>
      <c r="BH870" s="8">
        <v>8.8000000000000007</v>
      </c>
      <c r="BI870" s="8">
        <v>12.3</v>
      </c>
      <c r="BJ870" s="8">
        <v>15</v>
      </c>
      <c r="BK870" s="8">
        <v>13.7</v>
      </c>
      <c r="BL870" s="8">
        <v>9.9</v>
      </c>
      <c r="BM870" s="8">
        <v>6.4</v>
      </c>
      <c r="BN870" s="8">
        <v>4.4000000000000004</v>
      </c>
      <c r="BO870" s="8">
        <v>2.8</v>
      </c>
      <c r="BP870" s="7">
        <v>7.3</v>
      </c>
    </row>
    <row r="871" spans="1:68" ht="14.25" customHeight="1">
      <c r="A871" s="12">
        <v>214</v>
      </c>
      <c r="B871" s="14">
        <v>479</v>
      </c>
      <c r="C871" s="13" t="s">
        <v>105</v>
      </c>
      <c r="D871" s="13" t="s">
        <v>105</v>
      </c>
      <c r="E871" s="13" t="s">
        <v>1365</v>
      </c>
      <c r="F871" s="11">
        <v>-14.7</v>
      </c>
      <c r="G871" s="11">
        <v>-14.5</v>
      </c>
      <c r="H871" s="11">
        <v>-12.3</v>
      </c>
      <c r="I871" s="11">
        <v>-7.6</v>
      </c>
      <c r="J871" s="11">
        <v>-3.1</v>
      </c>
      <c r="K871" s="11">
        <v>0</v>
      </c>
      <c r="L871" s="11">
        <v>3.5</v>
      </c>
      <c r="M871" s="11">
        <v>3.6</v>
      </c>
      <c r="N871" s="11">
        <v>0.2</v>
      </c>
      <c r="O871" s="11">
        <v>-4.4000000000000004</v>
      </c>
      <c r="P871" s="11">
        <v>-8.1999999999999993</v>
      </c>
      <c r="Q871" s="11">
        <v>-12.1</v>
      </c>
      <c r="R871" s="10">
        <v>-5.8</v>
      </c>
      <c r="S871" s="12">
        <v>479</v>
      </c>
      <c r="T871" s="8" t="s">
        <v>1363</v>
      </c>
      <c r="U871" s="11">
        <v>-30</v>
      </c>
      <c r="V871" s="11">
        <v>-25</v>
      </c>
      <c r="W871" s="11">
        <v>-24</v>
      </c>
      <c r="X871" s="11">
        <v>-21</v>
      </c>
      <c r="Y871" s="11">
        <v>-9</v>
      </c>
      <c r="Z871" s="11">
        <v>-42</v>
      </c>
      <c r="AA871" s="11">
        <v>7.3</v>
      </c>
      <c r="AB871" s="11">
        <v>272</v>
      </c>
      <c r="AC871" s="11">
        <v>-8.6</v>
      </c>
      <c r="AD871" s="11">
        <v>365</v>
      </c>
      <c r="AE871" s="11">
        <v>-5.7</v>
      </c>
      <c r="AF871" s="11">
        <v>365</v>
      </c>
      <c r="AG871" s="11">
        <v>-5.7</v>
      </c>
      <c r="AH871" s="11" t="s">
        <v>49</v>
      </c>
      <c r="AI871" s="11">
        <v>72</v>
      </c>
      <c r="AJ871" s="11">
        <v>377</v>
      </c>
      <c r="AK871" s="11" t="s">
        <v>48</v>
      </c>
      <c r="AL871" s="11" t="s">
        <v>44</v>
      </c>
      <c r="AM871" s="10">
        <v>4.9000000000000004</v>
      </c>
      <c r="AN871" s="9">
        <v>479</v>
      </c>
      <c r="AO871" s="8" t="s">
        <v>1364</v>
      </c>
      <c r="AP871" s="8">
        <v>645</v>
      </c>
      <c r="AQ871" s="8" t="s">
        <v>45</v>
      </c>
      <c r="AR871" s="8" t="s">
        <v>44</v>
      </c>
      <c r="AS871" s="8">
        <v>6.8</v>
      </c>
      <c r="AT871" s="8">
        <v>17</v>
      </c>
      <c r="AU871" s="8">
        <v>6.2</v>
      </c>
      <c r="AV871" s="8">
        <v>77</v>
      </c>
      <c r="AW871" s="8">
        <v>82</v>
      </c>
      <c r="AX871" s="8" t="s">
        <v>44</v>
      </c>
      <c r="AY871" s="8">
        <v>113</v>
      </c>
      <c r="AZ871" s="8" t="s">
        <v>43</v>
      </c>
      <c r="BA871" s="7">
        <v>1.8</v>
      </c>
      <c r="BB871" s="9"/>
      <c r="BC871" s="8" t="s">
        <v>1363</v>
      </c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7"/>
    </row>
    <row r="872" spans="1:68" ht="14.25" customHeight="1">
      <c r="A872" s="12">
        <v>215</v>
      </c>
      <c r="B872" s="14">
        <v>381</v>
      </c>
      <c r="C872" s="13" t="s">
        <v>30</v>
      </c>
      <c r="D872" s="13" t="s">
        <v>162</v>
      </c>
      <c r="E872" s="13" t="s">
        <v>1360</v>
      </c>
      <c r="F872" s="11">
        <v>-35.5</v>
      </c>
      <c r="G872" s="11">
        <v>-28.7</v>
      </c>
      <c r="H872" s="11">
        <v>-17.100000000000001</v>
      </c>
      <c r="I872" s="11">
        <v>-3.7</v>
      </c>
      <c r="J872" s="11">
        <v>6</v>
      </c>
      <c r="K872" s="11">
        <v>13.6</v>
      </c>
      <c r="L872" s="11">
        <v>16.600000000000001</v>
      </c>
      <c r="M872" s="11">
        <v>13.3</v>
      </c>
      <c r="N872" s="11">
        <v>5.8</v>
      </c>
      <c r="O872" s="11">
        <v>-6</v>
      </c>
      <c r="P872" s="11">
        <v>-22.6</v>
      </c>
      <c r="Q872" s="11">
        <v>-33.6</v>
      </c>
      <c r="R872" s="10">
        <v>-7.7</v>
      </c>
      <c r="S872" s="12">
        <v>381</v>
      </c>
      <c r="T872" s="8" t="s">
        <v>1362</v>
      </c>
      <c r="U872" s="11">
        <v>-51</v>
      </c>
      <c r="V872" s="11">
        <v>-49</v>
      </c>
      <c r="W872" s="11">
        <v>-49</v>
      </c>
      <c r="X872" s="11">
        <v>-47</v>
      </c>
      <c r="Y872" s="11">
        <v>-40</v>
      </c>
      <c r="Z872" s="11">
        <v>-56</v>
      </c>
      <c r="AA872" s="11">
        <v>15.6</v>
      </c>
      <c r="AB872" s="11">
        <v>209</v>
      </c>
      <c r="AC872" s="11">
        <v>-20.9</v>
      </c>
      <c r="AD872" s="11">
        <v>260</v>
      </c>
      <c r="AE872" s="11">
        <v>-16</v>
      </c>
      <c r="AF872" s="11">
        <v>276</v>
      </c>
      <c r="AG872" s="11">
        <v>-14.5</v>
      </c>
      <c r="AH872" s="11">
        <v>74</v>
      </c>
      <c r="AI872" s="11">
        <v>67</v>
      </c>
      <c r="AJ872" s="11">
        <v>27</v>
      </c>
      <c r="AK872" s="11" t="s">
        <v>48</v>
      </c>
      <c r="AL872" s="11" t="s">
        <v>44</v>
      </c>
      <c r="AM872" s="10">
        <v>1</v>
      </c>
      <c r="AN872" s="9">
        <v>381</v>
      </c>
      <c r="AO872" s="8" t="s">
        <v>1361</v>
      </c>
      <c r="AP872" s="8">
        <v>940</v>
      </c>
      <c r="AQ872" s="8">
        <v>22.9</v>
      </c>
      <c r="AR872" s="8">
        <v>27</v>
      </c>
      <c r="AS872" s="8">
        <v>25.3</v>
      </c>
      <c r="AT872" s="8">
        <v>37</v>
      </c>
      <c r="AU872" s="8">
        <v>16.2</v>
      </c>
      <c r="AV872" s="8">
        <v>75</v>
      </c>
      <c r="AW872" s="8">
        <v>51</v>
      </c>
      <c r="AX872" s="8">
        <v>362</v>
      </c>
      <c r="AY872" s="8">
        <v>63</v>
      </c>
      <c r="AZ872" s="8" t="s">
        <v>37</v>
      </c>
      <c r="BA872" s="7" t="s">
        <v>46</v>
      </c>
      <c r="BB872" s="9">
        <v>345</v>
      </c>
      <c r="BC872" s="8" t="s">
        <v>1360</v>
      </c>
      <c r="BD872" s="8">
        <v>0.3</v>
      </c>
      <c r="BE872" s="8">
        <v>0.5</v>
      </c>
      <c r="BF872" s="8">
        <v>1.2</v>
      </c>
      <c r="BG872" s="8">
        <v>2.6</v>
      </c>
      <c r="BH872" s="8">
        <v>4.7</v>
      </c>
      <c r="BI872" s="8">
        <v>9.4</v>
      </c>
      <c r="BJ872" s="8">
        <v>13.7</v>
      </c>
      <c r="BK872" s="8">
        <v>11.9</v>
      </c>
      <c r="BL872" s="8">
        <v>6.5</v>
      </c>
      <c r="BM872" s="8">
        <v>2.9</v>
      </c>
      <c r="BN872" s="8">
        <v>0.9</v>
      </c>
      <c r="BO872" s="8">
        <v>0.4</v>
      </c>
      <c r="BP872" s="7">
        <v>4.5999999999999996</v>
      </c>
    </row>
    <row r="873" spans="1:68" ht="14.25" customHeight="1">
      <c r="A873" s="12">
        <v>216</v>
      </c>
      <c r="B873" s="14">
        <v>109</v>
      </c>
      <c r="C873" s="13" t="s">
        <v>30</v>
      </c>
      <c r="D873" s="13" t="s">
        <v>1359</v>
      </c>
      <c r="E873" s="13" t="s">
        <v>1356</v>
      </c>
      <c r="F873" s="11">
        <v>-3.1</v>
      </c>
      <c r="G873" s="11">
        <v>-2.5</v>
      </c>
      <c r="H873" s="11">
        <v>0.6</v>
      </c>
      <c r="I873" s="11">
        <v>6.2</v>
      </c>
      <c r="J873" s="11">
        <v>11.6</v>
      </c>
      <c r="K873" s="11">
        <v>15.2</v>
      </c>
      <c r="L873" s="11">
        <v>17.3</v>
      </c>
      <c r="M873" s="11">
        <v>16.7</v>
      </c>
      <c r="N873" s="11">
        <v>13</v>
      </c>
      <c r="O873" s="11">
        <v>7.8</v>
      </c>
      <c r="P873" s="11">
        <v>2.9</v>
      </c>
      <c r="Q873" s="11">
        <v>-0.9</v>
      </c>
      <c r="R873" s="10">
        <v>7.1</v>
      </c>
      <c r="S873" s="12">
        <v>109</v>
      </c>
      <c r="T873" s="8" t="s">
        <v>1358</v>
      </c>
      <c r="U873" s="11">
        <v>-29</v>
      </c>
      <c r="V873" s="11">
        <v>-24</v>
      </c>
      <c r="W873" s="11">
        <v>-21</v>
      </c>
      <c r="X873" s="11">
        <v>-19</v>
      </c>
      <c r="Y873" s="11">
        <v>-8</v>
      </c>
      <c r="Z873" s="11">
        <v>-33</v>
      </c>
      <c r="AA873" s="11">
        <v>5</v>
      </c>
      <c r="AB873" s="11">
        <v>92</v>
      </c>
      <c r="AC873" s="11">
        <v>-1.9</v>
      </c>
      <c r="AD873" s="11">
        <v>193</v>
      </c>
      <c r="AE873" s="11">
        <v>1.1000000000000001</v>
      </c>
      <c r="AF873" s="11">
        <v>216</v>
      </c>
      <c r="AG873" s="11">
        <v>1.9</v>
      </c>
      <c r="AH873" s="11">
        <v>85</v>
      </c>
      <c r="AI873" s="11">
        <v>82</v>
      </c>
      <c r="AJ873" s="11">
        <v>280</v>
      </c>
      <c r="AK873" s="11" t="s">
        <v>27</v>
      </c>
      <c r="AL873" s="11">
        <v>5.9</v>
      </c>
      <c r="AM873" s="10">
        <v>4.0999999999999996</v>
      </c>
      <c r="AN873" s="9">
        <v>109</v>
      </c>
      <c r="AO873" s="8" t="s">
        <v>1357</v>
      </c>
      <c r="AP873" s="8">
        <v>1010</v>
      </c>
      <c r="AQ873" s="8">
        <v>21.2</v>
      </c>
      <c r="AR873" s="8">
        <v>24.7</v>
      </c>
      <c r="AS873" s="8">
        <v>22.4</v>
      </c>
      <c r="AT873" s="8">
        <v>36</v>
      </c>
      <c r="AU873" s="8">
        <v>9.3000000000000007</v>
      </c>
      <c r="AV873" s="8">
        <v>77</v>
      </c>
      <c r="AW873" s="8">
        <v>63</v>
      </c>
      <c r="AX873" s="8">
        <v>508</v>
      </c>
      <c r="AY873" s="8">
        <v>110</v>
      </c>
      <c r="AZ873" s="8" t="s">
        <v>43</v>
      </c>
      <c r="BA873" s="7">
        <v>4.3</v>
      </c>
      <c r="BB873" s="9">
        <v>93</v>
      </c>
      <c r="BC873" s="8" t="s">
        <v>1356</v>
      </c>
      <c r="BD873" s="8">
        <v>4.4000000000000004</v>
      </c>
      <c r="BE873" s="8">
        <v>4.5</v>
      </c>
      <c r="BF873" s="8">
        <v>5.2</v>
      </c>
      <c r="BG873" s="8">
        <v>7.1</v>
      </c>
      <c r="BH873" s="8">
        <v>9.6999999999999993</v>
      </c>
      <c r="BI873" s="8">
        <v>12.9</v>
      </c>
      <c r="BJ873" s="8">
        <v>15</v>
      </c>
      <c r="BK873" s="8">
        <v>14.9</v>
      </c>
      <c r="BL873" s="8">
        <v>12.3</v>
      </c>
      <c r="BM873" s="8">
        <v>9.3000000000000007</v>
      </c>
      <c r="BN873" s="8">
        <v>7</v>
      </c>
      <c r="BO873" s="8">
        <v>5.5</v>
      </c>
      <c r="BP873" s="7">
        <v>9</v>
      </c>
    </row>
    <row r="874" spans="1:68" ht="14.25" customHeight="1">
      <c r="A874" s="12">
        <v>217</v>
      </c>
      <c r="B874" s="14">
        <v>111</v>
      </c>
      <c r="C874" s="13" t="s">
        <v>30</v>
      </c>
      <c r="D874" s="13" t="s">
        <v>1355</v>
      </c>
      <c r="E874" s="13" t="s">
        <v>1352</v>
      </c>
      <c r="F874" s="11">
        <v>-10.1</v>
      </c>
      <c r="G874" s="11">
        <v>-8.9</v>
      </c>
      <c r="H874" s="11">
        <v>-3.9</v>
      </c>
      <c r="I874" s="11">
        <v>4.8</v>
      </c>
      <c r="J874" s="11">
        <v>12.3</v>
      </c>
      <c r="K874" s="11">
        <v>16.2</v>
      </c>
      <c r="L874" s="11">
        <v>18</v>
      </c>
      <c r="M874" s="11">
        <v>16.5</v>
      </c>
      <c r="N874" s="11">
        <v>11</v>
      </c>
      <c r="O874" s="11">
        <v>4.7</v>
      </c>
      <c r="P874" s="11">
        <v>-1.5</v>
      </c>
      <c r="Q874" s="11">
        <v>-6.5</v>
      </c>
      <c r="R874" s="10">
        <v>4.4000000000000004</v>
      </c>
      <c r="S874" s="12">
        <v>111</v>
      </c>
      <c r="T874" s="8" t="s">
        <v>1354</v>
      </c>
      <c r="U874" s="11">
        <v>-34</v>
      </c>
      <c r="V874" s="11">
        <v>-31</v>
      </c>
      <c r="W874" s="11">
        <v>-30</v>
      </c>
      <c r="X874" s="11">
        <v>-27</v>
      </c>
      <c r="Y874" s="11">
        <v>-15</v>
      </c>
      <c r="Z874" s="11">
        <v>-46</v>
      </c>
      <c r="AA874" s="11">
        <v>7.3</v>
      </c>
      <c r="AB874" s="11">
        <v>142</v>
      </c>
      <c r="AC874" s="11">
        <v>-6.2</v>
      </c>
      <c r="AD874" s="11">
        <v>210</v>
      </c>
      <c r="AE874" s="11">
        <v>-2.9</v>
      </c>
      <c r="AF874" s="11">
        <v>228</v>
      </c>
      <c r="AG874" s="11">
        <v>-1.9</v>
      </c>
      <c r="AH874" s="11">
        <v>83</v>
      </c>
      <c r="AI874" s="11">
        <v>83</v>
      </c>
      <c r="AJ874" s="11">
        <v>213</v>
      </c>
      <c r="AK874" s="11" t="s">
        <v>34</v>
      </c>
      <c r="AL874" s="11">
        <v>4.9000000000000004</v>
      </c>
      <c r="AM874" s="10">
        <v>3.9</v>
      </c>
      <c r="AN874" s="9">
        <v>111</v>
      </c>
      <c r="AO874" s="8" t="s">
        <v>1353</v>
      </c>
      <c r="AP874" s="8">
        <v>990</v>
      </c>
      <c r="AQ874" s="8">
        <v>21</v>
      </c>
      <c r="AR874" s="8">
        <v>25.2</v>
      </c>
      <c r="AS874" s="8">
        <v>23.4</v>
      </c>
      <c r="AT874" s="8">
        <v>38</v>
      </c>
      <c r="AU874" s="8">
        <v>10.7</v>
      </c>
      <c r="AV874" s="8">
        <v>76</v>
      </c>
      <c r="AW874" s="8">
        <v>59</v>
      </c>
      <c r="AX874" s="8">
        <v>441</v>
      </c>
      <c r="AY874" s="8">
        <v>89</v>
      </c>
      <c r="AZ874" s="8" t="s">
        <v>54</v>
      </c>
      <c r="BA874" s="7">
        <v>0</v>
      </c>
      <c r="BB874" s="9">
        <v>95</v>
      </c>
      <c r="BC874" s="8" t="s">
        <v>1352</v>
      </c>
      <c r="BD874" s="8">
        <v>2.8</v>
      </c>
      <c r="BE874" s="8">
        <v>2.8</v>
      </c>
      <c r="BF874" s="8">
        <v>3.9</v>
      </c>
      <c r="BG874" s="8">
        <v>6.4</v>
      </c>
      <c r="BH874" s="8">
        <v>9.6</v>
      </c>
      <c r="BI874" s="8">
        <v>12.8</v>
      </c>
      <c r="BJ874" s="8">
        <v>14.9</v>
      </c>
      <c r="BK874" s="8">
        <v>14</v>
      </c>
      <c r="BL874" s="8">
        <v>10.3</v>
      </c>
      <c r="BM874" s="8">
        <v>7.2</v>
      </c>
      <c r="BN874" s="8">
        <v>5</v>
      </c>
      <c r="BO874" s="8">
        <v>3.8</v>
      </c>
      <c r="BP874" s="7">
        <v>7.8</v>
      </c>
    </row>
    <row r="875" spans="1:68" ht="14.25" customHeight="1">
      <c r="A875" s="12">
        <v>218</v>
      </c>
      <c r="B875" s="14">
        <v>281</v>
      </c>
      <c r="C875" s="13" t="s">
        <v>30</v>
      </c>
      <c r="D875" s="13" t="s">
        <v>131</v>
      </c>
      <c r="E875" s="13" t="s">
        <v>1349</v>
      </c>
      <c r="F875" s="11">
        <v>-16.2</v>
      </c>
      <c r="G875" s="11">
        <v>-14.7</v>
      </c>
      <c r="H875" s="11">
        <v>-7.5</v>
      </c>
      <c r="I875" s="11">
        <v>3.5</v>
      </c>
      <c r="J875" s="11">
        <v>11.2</v>
      </c>
      <c r="K875" s="11">
        <v>16.2</v>
      </c>
      <c r="L875" s="11">
        <v>18.100000000000001</v>
      </c>
      <c r="M875" s="11">
        <v>15.7</v>
      </c>
      <c r="N875" s="11">
        <v>9.9</v>
      </c>
      <c r="O875" s="11">
        <v>1.9</v>
      </c>
      <c r="P875" s="11">
        <v>-6.5</v>
      </c>
      <c r="Q875" s="11">
        <v>-13.5</v>
      </c>
      <c r="R875" s="10">
        <v>1.5</v>
      </c>
      <c r="S875" s="12">
        <v>281</v>
      </c>
      <c r="T875" s="8" t="s">
        <v>1351</v>
      </c>
      <c r="U875" s="11">
        <v>-42</v>
      </c>
      <c r="V875" s="11">
        <v>-40</v>
      </c>
      <c r="W875" s="11">
        <v>-38</v>
      </c>
      <c r="X875" s="11">
        <v>-35</v>
      </c>
      <c r="Y875" s="11">
        <v>-20</v>
      </c>
      <c r="Z875" s="11">
        <v>-46</v>
      </c>
      <c r="AA875" s="11">
        <v>8.5</v>
      </c>
      <c r="AB875" s="11">
        <v>166</v>
      </c>
      <c r="AC875" s="11">
        <v>-10.7</v>
      </c>
      <c r="AD875" s="11">
        <v>222</v>
      </c>
      <c r="AE875" s="11">
        <v>-6.9</v>
      </c>
      <c r="AF875" s="11">
        <v>240</v>
      </c>
      <c r="AG875" s="11">
        <v>-5.7</v>
      </c>
      <c r="AH875" s="11">
        <v>78</v>
      </c>
      <c r="AI875" s="11">
        <v>76</v>
      </c>
      <c r="AJ875" s="11">
        <v>116</v>
      </c>
      <c r="AK875" s="11" t="s">
        <v>39</v>
      </c>
      <c r="AL875" s="11" t="s">
        <v>44</v>
      </c>
      <c r="AM875" s="10">
        <v>3.2</v>
      </c>
      <c r="AN875" s="9">
        <v>299</v>
      </c>
      <c r="AO875" s="8" t="s">
        <v>1350</v>
      </c>
      <c r="AP875" s="8">
        <v>985</v>
      </c>
      <c r="AQ875" s="8">
        <v>22</v>
      </c>
      <c r="AR875" s="8">
        <v>26</v>
      </c>
      <c r="AS875" s="8">
        <v>23.9</v>
      </c>
      <c r="AT875" s="8">
        <v>39</v>
      </c>
      <c r="AU875" s="8">
        <v>11.4</v>
      </c>
      <c r="AV875" s="8">
        <v>72</v>
      </c>
      <c r="AW875" s="8">
        <v>58</v>
      </c>
      <c r="AX875" s="8">
        <v>351</v>
      </c>
      <c r="AY875" s="8">
        <v>101</v>
      </c>
      <c r="AZ875" s="8" t="s">
        <v>43</v>
      </c>
      <c r="BA875" s="7" t="s">
        <v>46</v>
      </c>
      <c r="BB875" s="9">
        <v>270</v>
      </c>
      <c r="BC875" s="8" t="s">
        <v>1349</v>
      </c>
      <c r="BD875" s="8">
        <v>1.6</v>
      </c>
      <c r="BE875" s="8">
        <v>1.7</v>
      </c>
      <c r="BF875" s="8">
        <v>2.9</v>
      </c>
      <c r="BG875" s="8">
        <v>5.5</v>
      </c>
      <c r="BH875" s="8">
        <v>7.7</v>
      </c>
      <c r="BI875" s="8">
        <v>11.7</v>
      </c>
      <c r="BJ875" s="8">
        <v>14.7</v>
      </c>
      <c r="BK875" s="8">
        <v>13.1</v>
      </c>
      <c r="BL875" s="8">
        <v>9.3000000000000007</v>
      </c>
      <c r="BM875" s="8">
        <v>5.4</v>
      </c>
      <c r="BN875" s="8">
        <v>3.3</v>
      </c>
      <c r="BO875" s="8">
        <v>2.1</v>
      </c>
      <c r="BP875" s="7">
        <v>6.5</v>
      </c>
    </row>
    <row r="876" spans="1:68" ht="14.25" customHeight="1">
      <c r="A876" s="12">
        <v>219</v>
      </c>
      <c r="B876" s="14">
        <v>463</v>
      </c>
      <c r="C876" s="13" t="s">
        <v>555</v>
      </c>
      <c r="D876" s="13" t="s">
        <v>555</v>
      </c>
      <c r="E876" s="13" t="s">
        <v>1348</v>
      </c>
      <c r="F876" s="11">
        <v>-7.5</v>
      </c>
      <c r="G876" s="11">
        <v>-6.3</v>
      </c>
      <c r="H876" s="11">
        <v>-2.5</v>
      </c>
      <c r="I876" s="11">
        <v>3.9</v>
      </c>
      <c r="J876" s="11">
        <v>8.9</v>
      </c>
      <c r="K876" s="11">
        <v>12.5</v>
      </c>
      <c r="L876" s="11">
        <v>15.7</v>
      </c>
      <c r="M876" s="11">
        <v>15.8</v>
      </c>
      <c r="N876" s="11">
        <v>12</v>
      </c>
      <c r="O876" s="11">
        <v>6.7</v>
      </c>
      <c r="P876" s="11">
        <v>0.6</v>
      </c>
      <c r="Q876" s="11">
        <v>-4.8</v>
      </c>
      <c r="R876" s="10">
        <v>4.5999999999999996</v>
      </c>
      <c r="S876" s="12">
        <v>463</v>
      </c>
      <c r="T876" s="8" t="s">
        <v>1346</v>
      </c>
      <c r="U876" s="11">
        <v>-24</v>
      </c>
      <c r="V876" s="11">
        <v>-22</v>
      </c>
      <c r="W876" s="11">
        <v>-21</v>
      </c>
      <c r="X876" s="11">
        <v>-18</v>
      </c>
      <c r="Y876" s="11" t="s">
        <v>49</v>
      </c>
      <c r="Z876" s="11">
        <v>-33</v>
      </c>
      <c r="AA876" s="11" t="s">
        <v>49</v>
      </c>
      <c r="AB876" s="11">
        <v>134</v>
      </c>
      <c r="AC876" s="11">
        <v>-4.9000000000000004</v>
      </c>
      <c r="AD876" s="11">
        <v>211</v>
      </c>
      <c r="AE876" s="11">
        <v>-1.5</v>
      </c>
      <c r="AF876" s="11">
        <v>243</v>
      </c>
      <c r="AG876" s="11">
        <v>-0.1</v>
      </c>
      <c r="AH876" s="11">
        <v>73</v>
      </c>
      <c r="AI876" s="11">
        <v>65</v>
      </c>
      <c r="AJ876" s="11">
        <v>114</v>
      </c>
      <c r="AK876" s="11" t="s">
        <v>39</v>
      </c>
      <c r="AL876" s="11">
        <v>5.9</v>
      </c>
      <c r="AM876" s="10" t="s">
        <v>44</v>
      </c>
      <c r="AN876" s="9">
        <v>463</v>
      </c>
      <c r="AO876" s="8" t="s">
        <v>1347</v>
      </c>
      <c r="AP876" s="8">
        <v>805</v>
      </c>
      <c r="AQ876" s="8" t="s">
        <v>45</v>
      </c>
      <c r="AR876" s="8" t="s">
        <v>44</v>
      </c>
      <c r="AS876" s="8">
        <v>22.3</v>
      </c>
      <c r="AT876" s="8">
        <v>32</v>
      </c>
      <c r="AU876" s="8" t="s">
        <v>46</v>
      </c>
      <c r="AV876" s="8">
        <v>73</v>
      </c>
      <c r="AW876" s="8">
        <v>52</v>
      </c>
      <c r="AX876" s="8">
        <v>375</v>
      </c>
      <c r="AY876" s="8">
        <v>69</v>
      </c>
      <c r="AZ876" s="8" t="s">
        <v>32</v>
      </c>
      <c r="BA876" s="7">
        <v>0</v>
      </c>
      <c r="BB876" s="9"/>
      <c r="BC876" s="8" t="s">
        <v>1346</v>
      </c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7"/>
    </row>
    <row r="877" spans="1:68" ht="14.25" customHeight="1">
      <c r="A877" s="12">
        <v>220</v>
      </c>
      <c r="B877" s="14">
        <v>67</v>
      </c>
      <c r="C877" s="13" t="s">
        <v>30</v>
      </c>
      <c r="D877" s="13" t="s">
        <v>91</v>
      </c>
      <c r="E877" s="13" t="s">
        <v>1342</v>
      </c>
      <c r="F877" s="11">
        <v>-10.4</v>
      </c>
      <c r="G877" s="11">
        <v>-9.9</v>
      </c>
      <c r="H877" s="11">
        <v>-4</v>
      </c>
      <c r="I877" s="11">
        <v>-7.7</v>
      </c>
      <c r="J877" s="11">
        <v>16.2</v>
      </c>
      <c r="K877" s="11">
        <v>20.7</v>
      </c>
      <c r="L877" s="11">
        <v>23.2</v>
      </c>
      <c r="M877" s="11">
        <v>21.5</v>
      </c>
      <c r="N877" s="11">
        <v>15.1</v>
      </c>
      <c r="O877" s="11">
        <v>6.7</v>
      </c>
      <c r="P877" s="11">
        <v>-0.8</v>
      </c>
      <c r="Q877" s="11">
        <v>-6.7</v>
      </c>
      <c r="R877" s="10">
        <v>6.6</v>
      </c>
      <c r="S877" s="12">
        <v>67</v>
      </c>
      <c r="T877" s="8" t="s">
        <v>1345</v>
      </c>
      <c r="U877" s="11">
        <v>-32</v>
      </c>
      <c r="V877" s="11">
        <v>-30</v>
      </c>
      <c r="W877" s="11">
        <v>-29</v>
      </c>
      <c r="X877" s="11">
        <v>-26</v>
      </c>
      <c r="Y877" s="11">
        <v>-12</v>
      </c>
      <c r="Z877" s="11">
        <v>-37</v>
      </c>
      <c r="AA877" s="11">
        <v>7.1</v>
      </c>
      <c r="AB877" s="11">
        <v>134</v>
      </c>
      <c r="AC877" s="11">
        <v>-7.2</v>
      </c>
      <c r="AD877" s="11">
        <v>188</v>
      </c>
      <c r="AE877" s="11">
        <v>-4.0999999999999996</v>
      </c>
      <c r="AF877" s="11">
        <v>200</v>
      </c>
      <c r="AG877" s="11">
        <v>-3.3</v>
      </c>
      <c r="AH877" s="11">
        <v>86</v>
      </c>
      <c r="AI877" s="11">
        <v>81</v>
      </c>
      <c r="AJ877" s="11">
        <v>220</v>
      </c>
      <c r="AK877" s="11" t="s">
        <v>1344</v>
      </c>
      <c r="AL877" s="11">
        <v>8.5</v>
      </c>
      <c r="AM877" s="10">
        <v>6.4</v>
      </c>
      <c r="AN877" s="9">
        <v>67</v>
      </c>
      <c r="AO877" s="8" t="s">
        <v>1343</v>
      </c>
      <c r="AP877" s="8">
        <v>1005</v>
      </c>
      <c r="AQ877" s="8">
        <v>26</v>
      </c>
      <c r="AR877" s="8">
        <v>32</v>
      </c>
      <c r="AS877" s="8">
        <v>29.9</v>
      </c>
      <c r="AT877" s="8">
        <v>42</v>
      </c>
      <c r="AU877" s="8">
        <v>12.5</v>
      </c>
      <c r="AV877" s="8">
        <v>51</v>
      </c>
      <c r="AW877" s="8">
        <v>38</v>
      </c>
      <c r="AX877" s="8">
        <v>213</v>
      </c>
      <c r="AY877" s="8" t="s">
        <v>64</v>
      </c>
      <c r="AZ877" s="8" t="s">
        <v>54</v>
      </c>
      <c r="BA877" s="7">
        <v>4.5999999999999996</v>
      </c>
      <c r="BB877" s="9"/>
      <c r="BC877" s="8" t="s">
        <v>1342</v>
      </c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7"/>
    </row>
    <row r="878" spans="1:68" ht="14.25" customHeight="1">
      <c r="A878" s="12">
        <v>221</v>
      </c>
      <c r="B878" s="14">
        <v>214</v>
      </c>
      <c r="C878" s="13" t="s">
        <v>30</v>
      </c>
      <c r="D878" s="13" t="s">
        <v>61</v>
      </c>
      <c r="E878" s="13" t="s">
        <v>1339</v>
      </c>
      <c r="F878" s="11">
        <v>-11.8</v>
      </c>
      <c r="G878" s="11">
        <v>-12.1</v>
      </c>
      <c r="H878" s="11">
        <v>-7.8</v>
      </c>
      <c r="I878" s="11">
        <v>-1.6</v>
      </c>
      <c r="J878" s="11">
        <v>4.0999999999999996</v>
      </c>
      <c r="K878" s="11">
        <v>10.6</v>
      </c>
      <c r="L878" s="11">
        <v>14.8</v>
      </c>
      <c r="M878" s="11">
        <v>12.7</v>
      </c>
      <c r="N878" s="11">
        <v>7.1</v>
      </c>
      <c r="O878" s="11">
        <v>1.1000000000000001</v>
      </c>
      <c r="P878" s="11">
        <v>-4.2</v>
      </c>
      <c r="Q878" s="11">
        <v>-8.5</v>
      </c>
      <c r="R878" s="10">
        <v>0.4</v>
      </c>
      <c r="S878" s="12">
        <v>214</v>
      </c>
      <c r="T878" s="8" t="s">
        <v>1341</v>
      </c>
      <c r="U878" s="11">
        <v>-38</v>
      </c>
      <c r="V878" s="11">
        <v>-34</v>
      </c>
      <c r="W878" s="11">
        <v>-35</v>
      </c>
      <c r="X878" s="11">
        <v>-30</v>
      </c>
      <c r="Y878" s="11">
        <v>-17</v>
      </c>
      <c r="Z878" s="11">
        <v>-44</v>
      </c>
      <c r="AA878" s="11">
        <v>8.1999999999999993</v>
      </c>
      <c r="AB878" s="11">
        <v>184</v>
      </c>
      <c r="AC878" s="11">
        <v>-7.4</v>
      </c>
      <c r="AD878" s="11">
        <v>266</v>
      </c>
      <c r="AE878" s="11">
        <v>-3.9</v>
      </c>
      <c r="AF878" s="11">
        <v>286</v>
      </c>
      <c r="AG878" s="11">
        <v>-3</v>
      </c>
      <c r="AH878" s="11">
        <v>85</v>
      </c>
      <c r="AI878" s="11">
        <v>81</v>
      </c>
      <c r="AJ878" s="11">
        <v>132</v>
      </c>
      <c r="AK878" s="11" t="s">
        <v>56</v>
      </c>
      <c r="AL878" s="11">
        <v>5.7</v>
      </c>
      <c r="AM878" s="10">
        <v>3.7</v>
      </c>
      <c r="AN878" s="9">
        <v>214</v>
      </c>
      <c r="AO878" s="8" t="s">
        <v>1340</v>
      </c>
      <c r="AP878" s="8">
        <v>1010</v>
      </c>
      <c r="AQ878" s="8">
        <v>15.8</v>
      </c>
      <c r="AR878" s="8">
        <v>21.1</v>
      </c>
      <c r="AS878" s="8">
        <v>19.100000000000001</v>
      </c>
      <c r="AT878" s="8">
        <v>31</v>
      </c>
      <c r="AU878" s="8">
        <v>8.8000000000000007</v>
      </c>
      <c r="AV878" s="8">
        <v>72</v>
      </c>
      <c r="AW878" s="8">
        <v>61</v>
      </c>
      <c r="AX878" s="8">
        <v>357</v>
      </c>
      <c r="AY878" s="8">
        <v>51</v>
      </c>
      <c r="AZ878" s="8" t="s">
        <v>25</v>
      </c>
      <c r="BA878" s="7">
        <v>0</v>
      </c>
      <c r="BB878" s="9">
        <v>189</v>
      </c>
      <c r="BC878" s="8" t="s">
        <v>1339</v>
      </c>
      <c r="BD878" s="8">
        <v>2.4</v>
      </c>
      <c r="BE878" s="8">
        <v>2.4</v>
      </c>
      <c r="BF878" s="8">
        <v>3</v>
      </c>
      <c r="BG878" s="8">
        <v>4.2</v>
      </c>
      <c r="BH878" s="8">
        <v>5.8</v>
      </c>
      <c r="BI878" s="8">
        <v>9</v>
      </c>
      <c r="BJ878" s="8">
        <v>11.7</v>
      </c>
      <c r="BK878" s="8">
        <v>11.6</v>
      </c>
      <c r="BL878" s="8">
        <v>8.4</v>
      </c>
      <c r="BM878" s="8">
        <v>5.8</v>
      </c>
      <c r="BN878" s="8">
        <v>4.0999999999999996</v>
      </c>
      <c r="BO878" s="8">
        <v>3.1</v>
      </c>
      <c r="BP878" s="7">
        <v>6</v>
      </c>
    </row>
    <row r="879" spans="1:68" ht="14.25" customHeight="1">
      <c r="A879" s="12">
        <v>222</v>
      </c>
      <c r="B879" s="14">
        <v>452</v>
      </c>
      <c r="C879" s="13" t="s">
        <v>30</v>
      </c>
      <c r="D879" s="13" t="s">
        <v>230</v>
      </c>
      <c r="E879" s="13" t="s">
        <v>1337</v>
      </c>
      <c r="F879" s="11">
        <v>-8.1999999999999993</v>
      </c>
      <c r="G879" s="11">
        <v>-9.6</v>
      </c>
      <c r="H879" s="11">
        <v>-8.6999999999999993</v>
      </c>
      <c r="I879" s="11">
        <v>-4.8</v>
      </c>
      <c r="J879" s="11">
        <v>-0.8</v>
      </c>
      <c r="K879" s="11">
        <v>4.2</v>
      </c>
      <c r="L879" s="11">
        <v>8.4</v>
      </c>
      <c r="M879" s="11">
        <v>8.6</v>
      </c>
      <c r="N879" s="11">
        <v>5.8</v>
      </c>
      <c r="O879" s="11">
        <v>1.6</v>
      </c>
      <c r="P879" s="11">
        <v>-1.9</v>
      </c>
      <c r="Q879" s="11">
        <v>-5.6</v>
      </c>
      <c r="R879" s="10">
        <v>-0.9</v>
      </c>
      <c r="S879" s="12">
        <v>452</v>
      </c>
      <c r="T879" s="8" t="s">
        <v>1337</v>
      </c>
      <c r="U879" s="11">
        <v>-28</v>
      </c>
      <c r="V879" s="11">
        <v>-25</v>
      </c>
      <c r="W879" s="11">
        <v>-25</v>
      </c>
      <c r="X879" s="11">
        <v>-23</v>
      </c>
      <c r="Y879" s="11">
        <v>-15</v>
      </c>
      <c r="Z879" s="11">
        <v>-38</v>
      </c>
      <c r="AA879" s="11">
        <v>5.6</v>
      </c>
      <c r="AB879" s="11">
        <v>203</v>
      </c>
      <c r="AC879" s="11">
        <v>-5.8</v>
      </c>
      <c r="AD879" s="11">
        <v>325</v>
      </c>
      <c r="AE879" s="11">
        <v>-2</v>
      </c>
      <c r="AF879" s="11">
        <v>365</v>
      </c>
      <c r="AG879" s="11">
        <v>-0.9</v>
      </c>
      <c r="AH879" s="11">
        <v>87</v>
      </c>
      <c r="AI879" s="11">
        <v>86</v>
      </c>
      <c r="AJ879" s="11">
        <v>164</v>
      </c>
      <c r="AK879" s="11" t="s">
        <v>34</v>
      </c>
      <c r="AL879" s="11">
        <v>10.1</v>
      </c>
      <c r="AM879" s="10">
        <v>7.7</v>
      </c>
      <c r="AN879" s="9">
        <v>452</v>
      </c>
      <c r="AO879" s="8" t="s">
        <v>1338</v>
      </c>
      <c r="AP879" s="8">
        <v>1005</v>
      </c>
      <c r="AQ879" s="8">
        <v>9.6</v>
      </c>
      <c r="AR879" s="8">
        <v>14.4</v>
      </c>
      <c r="AS879" s="8">
        <v>11.4</v>
      </c>
      <c r="AT879" s="8">
        <v>31</v>
      </c>
      <c r="AU879" s="8">
        <v>4.9000000000000004</v>
      </c>
      <c r="AV879" s="8">
        <v>88</v>
      </c>
      <c r="AW879" s="8">
        <v>83</v>
      </c>
      <c r="AX879" s="8">
        <v>248</v>
      </c>
      <c r="AY879" s="8">
        <v>85</v>
      </c>
      <c r="AZ879" s="8" t="s">
        <v>151</v>
      </c>
      <c r="BA879" s="7">
        <v>6.2</v>
      </c>
      <c r="BB879" s="9">
        <v>414</v>
      </c>
      <c r="BC879" s="8" t="s">
        <v>1337</v>
      </c>
      <c r="BD879" s="8">
        <v>3.1</v>
      </c>
      <c r="BE879" s="8">
        <v>2.8</v>
      </c>
      <c r="BF879" s="8">
        <v>3.1</v>
      </c>
      <c r="BG879" s="8">
        <v>4</v>
      </c>
      <c r="BH879" s="8">
        <v>5.0999999999999996</v>
      </c>
      <c r="BI879" s="8">
        <v>7.3</v>
      </c>
      <c r="BJ879" s="8">
        <v>9.8000000000000007</v>
      </c>
      <c r="BK879" s="8">
        <v>10.1</v>
      </c>
      <c r="BL879" s="8">
        <v>8.1999999999999993</v>
      </c>
      <c r="BM879" s="8">
        <v>5.9</v>
      </c>
      <c r="BN879" s="8">
        <v>4.5999999999999996</v>
      </c>
      <c r="BO879" s="8">
        <v>3.8</v>
      </c>
      <c r="BP879" s="7">
        <v>5.6</v>
      </c>
    </row>
    <row r="880" spans="1:68" ht="14.25" customHeight="1">
      <c r="A880" s="12">
        <v>223</v>
      </c>
      <c r="B880" s="14">
        <v>183</v>
      </c>
      <c r="C880" s="13" t="s">
        <v>30</v>
      </c>
      <c r="D880" s="13" t="s">
        <v>29</v>
      </c>
      <c r="E880" s="13" t="s">
        <v>1334</v>
      </c>
      <c r="F880" s="11">
        <v>-20.2</v>
      </c>
      <c r="G880" s="11">
        <v>-18.7</v>
      </c>
      <c r="H880" s="11">
        <v>-10.3</v>
      </c>
      <c r="I880" s="11">
        <v>0.7</v>
      </c>
      <c r="J880" s="11">
        <v>8.6</v>
      </c>
      <c r="K880" s="11">
        <v>16</v>
      </c>
      <c r="L880" s="11">
        <v>18.8</v>
      </c>
      <c r="M880" s="11">
        <v>15.6</v>
      </c>
      <c r="N880" s="11">
        <v>8.8000000000000007</v>
      </c>
      <c r="O880" s="11">
        <v>0.4</v>
      </c>
      <c r="P880" s="11">
        <v>-10.199999999999999</v>
      </c>
      <c r="Q880" s="11">
        <v>-18.600000000000001</v>
      </c>
      <c r="R880" s="10">
        <v>-0.8</v>
      </c>
      <c r="S880" s="12">
        <v>183</v>
      </c>
      <c r="T880" s="8" t="s">
        <v>1336</v>
      </c>
      <c r="U880" s="11">
        <v>-48</v>
      </c>
      <c r="V880" s="11">
        <v>-46</v>
      </c>
      <c r="W880" s="11">
        <v>-45</v>
      </c>
      <c r="X880" s="11">
        <v>-42</v>
      </c>
      <c r="Y880" s="11">
        <v>-25</v>
      </c>
      <c r="Z880" s="11">
        <v>-51</v>
      </c>
      <c r="AA880" s="11">
        <v>10.4</v>
      </c>
      <c r="AB880" s="11">
        <v>178</v>
      </c>
      <c r="AC880" s="11">
        <v>-13.1</v>
      </c>
      <c r="AD880" s="11">
        <v>237</v>
      </c>
      <c r="AE880" s="11">
        <v>-8.8000000000000007</v>
      </c>
      <c r="AF880" s="11">
        <v>254</v>
      </c>
      <c r="AG880" s="11">
        <v>-7.7</v>
      </c>
      <c r="AH880" s="11">
        <v>77</v>
      </c>
      <c r="AI880" s="11">
        <v>75</v>
      </c>
      <c r="AJ880" s="11">
        <v>80</v>
      </c>
      <c r="AK880" s="11" t="s">
        <v>48</v>
      </c>
      <c r="AL880" s="11">
        <v>7.3</v>
      </c>
      <c r="AM880" s="10">
        <v>3.7</v>
      </c>
      <c r="AN880" s="9">
        <v>183</v>
      </c>
      <c r="AO880" s="8" t="s">
        <v>1335</v>
      </c>
      <c r="AP880" s="8">
        <v>985</v>
      </c>
      <c r="AQ880" s="8">
        <v>23.1</v>
      </c>
      <c r="AR880" s="8">
        <v>27.2</v>
      </c>
      <c r="AS880" s="8">
        <v>25.5</v>
      </c>
      <c r="AT880" s="8">
        <v>36</v>
      </c>
      <c r="AU880" s="8">
        <v>13.3</v>
      </c>
      <c r="AV880" s="8">
        <v>69</v>
      </c>
      <c r="AW880" s="8">
        <v>51</v>
      </c>
      <c r="AX880" s="8">
        <v>279</v>
      </c>
      <c r="AY880" s="8">
        <v>74</v>
      </c>
      <c r="AZ880" s="8" t="s">
        <v>43</v>
      </c>
      <c r="BA880" s="7">
        <v>0</v>
      </c>
      <c r="BB880" s="9">
        <v>161</v>
      </c>
      <c r="BC880" s="8" t="s">
        <v>1334</v>
      </c>
      <c r="BD880" s="8">
        <v>1.3</v>
      </c>
      <c r="BE880" s="8">
        <v>1.4</v>
      </c>
      <c r="BF880" s="8">
        <v>2.4</v>
      </c>
      <c r="BG880" s="8">
        <v>4.3</v>
      </c>
      <c r="BH880" s="8">
        <v>6.5</v>
      </c>
      <c r="BI880" s="8">
        <v>11.2</v>
      </c>
      <c r="BJ880" s="8">
        <v>14.6</v>
      </c>
      <c r="BK880" s="8">
        <v>12.9</v>
      </c>
      <c r="BL880" s="8">
        <v>8.4</v>
      </c>
      <c r="BM880" s="8">
        <v>4.8</v>
      </c>
      <c r="BN880" s="8">
        <v>2.5</v>
      </c>
      <c r="BO880" s="8">
        <v>1.5</v>
      </c>
      <c r="BP880" s="7">
        <v>6</v>
      </c>
    </row>
    <row r="881" spans="1:68" ht="14.25" customHeight="1">
      <c r="A881" s="12">
        <v>224</v>
      </c>
      <c r="B881" s="14">
        <v>518</v>
      </c>
      <c r="C881" s="13" t="s">
        <v>121</v>
      </c>
      <c r="D881" s="13" t="s">
        <v>1321</v>
      </c>
      <c r="E881" s="13" t="s">
        <v>1332</v>
      </c>
      <c r="F881" s="11">
        <v>-14.5</v>
      </c>
      <c r="G881" s="11">
        <v>-14.2</v>
      </c>
      <c r="H881" s="11">
        <v>-7.7</v>
      </c>
      <c r="I881" s="11">
        <v>4.5999999999999996</v>
      </c>
      <c r="J881" s="11">
        <v>12.8</v>
      </c>
      <c r="K881" s="11">
        <v>18.399999999999999</v>
      </c>
      <c r="L881" s="11">
        <v>20.399999999999999</v>
      </c>
      <c r="M881" s="11">
        <v>17.8</v>
      </c>
      <c r="N881" s="11">
        <v>12</v>
      </c>
      <c r="O881" s="11">
        <v>3.2</v>
      </c>
      <c r="P881" s="11">
        <v>-6.3</v>
      </c>
      <c r="Q881" s="11">
        <v>-12.3</v>
      </c>
      <c r="R881" s="10">
        <v>2.9</v>
      </c>
      <c r="S881" s="12">
        <v>518</v>
      </c>
      <c r="T881" s="8" t="s">
        <v>1332</v>
      </c>
      <c r="U881" s="11">
        <v>-39</v>
      </c>
      <c r="V881" s="11">
        <v>-37</v>
      </c>
      <c r="W881" s="11">
        <v>-35</v>
      </c>
      <c r="X881" s="11">
        <v>-32</v>
      </c>
      <c r="Y881" s="11">
        <v>-21</v>
      </c>
      <c r="Z881" s="11" t="s">
        <v>44</v>
      </c>
      <c r="AA881" s="11">
        <v>9.3000000000000007</v>
      </c>
      <c r="AB881" s="11">
        <v>161</v>
      </c>
      <c r="AC881" s="11">
        <v>-10.3</v>
      </c>
      <c r="AD881" s="11">
        <v>208</v>
      </c>
      <c r="AE881" s="11">
        <v>-7</v>
      </c>
      <c r="AF881" s="11">
        <v>222</v>
      </c>
      <c r="AG881" s="11">
        <v>-6</v>
      </c>
      <c r="AH881" s="11">
        <v>78</v>
      </c>
      <c r="AI881" s="11" t="s">
        <v>49</v>
      </c>
      <c r="AJ881" s="11">
        <v>92</v>
      </c>
      <c r="AK881" s="11" t="s">
        <v>39</v>
      </c>
      <c r="AL881" s="11">
        <v>5.3</v>
      </c>
      <c r="AM881" s="10">
        <v>4.9000000000000004</v>
      </c>
      <c r="AN881" s="9">
        <v>518</v>
      </c>
      <c r="AO881" s="8" t="s">
        <v>1333</v>
      </c>
      <c r="AP881" s="8" t="s">
        <v>64</v>
      </c>
      <c r="AQ881" s="8">
        <v>25.8</v>
      </c>
      <c r="AR881" s="8">
        <v>29.5</v>
      </c>
      <c r="AS881" s="8">
        <v>26.8</v>
      </c>
      <c r="AT881" s="8">
        <v>39</v>
      </c>
      <c r="AU881" s="8">
        <v>13.2</v>
      </c>
      <c r="AV881" s="8">
        <v>53</v>
      </c>
      <c r="AW881" s="8" t="s">
        <v>44</v>
      </c>
      <c r="AX881" s="8">
        <v>223</v>
      </c>
      <c r="AY881" s="8" t="s">
        <v>64</v>
      </c>
      <c r="AZ881" s="8" t="s">
        <v>32</v>
      </c>
      <c r="BA881" s="7">
        <v>3.8</v>
      </c>
      <c r="BB881" s="9"/>
      <c r="BC881" s="8" t="s">
        <v>1332</v>
      </c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7"/>
    </row>
    <row r="882" spans="1:68" ht="14.25" customHeight="1">
      <c r="A882" s="12">
        <v>225</v>
      </c>
      <c r="B882" s="14">
        <v>586</v>
      </c>
      <c r="C882" s="13" t="s">
        <v>117</v>
      </c>
      <c r="D882" s="13" t="s">
        <v>168</v>
      </c>
      <c r="E882" s="13" t="s">
        <v>1330</v>
      </c>
      <c r="F882" s="11">
        <v>-8.1999999999999993</v>
      </c>
      <c r="G882" s="11">
        <v>-7.9</v>
      </c>
      <c r="H882" s="11">
        <v>-0.5</v>
      </c>
      <c r="I882" s="11">
        <v>10.3</v>
      </c>
      <c r="J882" s="11">
        <v>18.600000000000001</v>
      </c>
      <c r="K882" s="11">
        <v>24</v>
      </c>
      <c r="L882" s="11">
        <v>27</v>
      </c>
      <c r="M882" s="11">
        <v>24.6</v>
      </c>
      <c r="N882" s="11">
        <v>17.3</v>
      </c>
      <c r="O882" s="11">
        <v>8</v>
      </c>
      <c r="P882" s="11">
        <v>0.7</v>
      </c>
      <c r="Q882" s="11">
        <v>-4.4000000000000004</v>
      </c>
      <c r="R882" s="10">
        <v>9.1</v>
      </c>
      <c r="S882" s="12">
        <v>575</v>
      </c>
      <c r="T882" s="8" t="s">
        <v>1330</v>
      </c>
      <c r="U882" s="11">
        <v>-32</v>
      </c>
      <c r="V882" s="11">
        <v>-29</v>
      </c>
      <c r="W882" s="11">
        <v>-30</v>
      </c>
      <c r="X882" s="11" t="s">
        <v>64</v>
      </c>
      <c r="Y882" s="11">
        <v>-13</v>
      </c>
      <c r="Z882" s="11">
        <v>-40</v>
      </c>
      <c r="AA882" s="11">
        <v>7.8</v>
      </c>
      <c r="AB882" s="11">
        <v>119</v>
      </c>
      <c r="AC882" s="11" t="s">
        <v>45</v>
      </c>
      <c r="AD882" s="11">
        <v>174</v>
      </c>
      <c r="AE882" s="11">
        <v>-2.4</v>
      </c>
      <c r="AF882" s="11" t="s">
        <v>114</v>
      </c>
      <c r="AG882" s="11" t="s">
        <v>44</v>
      </c>
      <c r="AH882" s="11" t="s">
        <v>49</v>
      </c>
      <c r="AI882" s="11" t="s">
        <v>49</v>
      </c>
      <c r="AJ882" s="11" t="s">
        <v>84</v>
      </c>
      <c r="AK882" s="11" t="s">
        <v>44</v>
      </c>
      <c r="AL882" s="11">
        <v>5</v>
      </c>
      <c r="AM882" s="10" t="s">
        <v>44</v>
      </c>
      <c r="AN882" s="9">
        <v>576</v>
      </c>
      <c r="AO882" s="8" t="s">
        <v>1331</v>
      </c>
      <c r="AP882" s="8">
        <v>1010</v>
      </c>
      <c r="AQ882" s="8">
        <v>33.200000000000003</v>
      </c>
      <c r="AR882" s="8">
        <v>33.700000000000003</v>
      </c>
      <c r="AS882" s="8">
        <v>34.200000000000003</v>
      </c>
      <c r="AT882" s="8">
        <v>46</v>
      </c>
      <c r="AU882" s="8">
        <v>16.5</v>
      </c>
      <c r="AV882" s="8" t="s">
        <v>45</v>
      </c>
      <c r="AW882" s="8" t="s">
        <v>44</v>
      </c>
      <c r="AX882" s="8" t="s">
        <v>44</v>
      </c>
      <c r="AY882" s="8">
        <v>51</v>
      </c>
      <c r="AZ882" s="8" t="s">
        <v>114</v>
      </c>
      <c r="BA882" s="7">
        <v>0</v>
      </c>
      <c r="BB882" s="9"/>
      <c r="BC882" s="8" t="s">
        <v>1330</v>
      </c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7"/>
    </row>
    <row r="883" spans="1:68" ht="14.25" customHeight="1">
      <c r="A883" s="12">
        <v>226</v>
      </c>
      <c r="B883" s="14">
        <v>539</v>
      </c>
      <c r="C883" s="13" t="s">
        <v>158</v>
      </c>
      <c r="D883" s="13" t="s">
        <v>157</v>
      </c>
      <c r="E883" s="13" t="s">
        <v>1328</v>
      </c>
      <c r="F883" s="11">
        <v>-7.1</v>
      </c>
      <c r="G883" s="11">
        <v>-5.5</v>
      </c>
      <c r="H883" s="11">
        <v>-0.1</v>
      </c>
      <c r="I883" s="11">
        <v>7</v>
      </c>
      <c r="J883" s="11">
        <v>11.8</v>
      </c>
      <c r="K883" s="11">
        <v>14.6</v>
      </c>
      <c r="L883" s="11">
        <v>16.899999999999999</v>
      </c>
      <c r="M883" s="11">
        <v>16.2</v>
      </c>
      <c r="N883" s="11">
        <v>12.3</v>
      </c>
      <c r="O883" s="11">
        <v>6.2</v>
      </c>
      <c r="P883" s="11">
        <v>-1.1000000000000001</v>
      </c>
      <c r="Q883" s="11">
        <v>-5.3</v>
      </c>
      <c r="R883" s="10">
        <v>5.5</v>
      </c>
      <c r="S883" s="12">
        <v>539</v>
      </c>
      <c r="T883" s="8" t="s">
        <v>1328</v>
      </c>
      <c r="U883" s="11">
        <v>-18</v>
      </c>
      <c r="V883" s="11">
        <v>-16</v>
      </c>
      <c r="W883" s="11">
        <v>-15</v>
      </c>
      <c r="X883" s="11">
        <v>-13</v>
      </c>
      <c r="Y883" s="11" t="s">
        <v>49</v>
      </c>
      <c r="Z883" s="11" t="s">
        <v>44</v>
      </c>
      <c r="AA883" s="11">
        <v>11</v>
      </c>
      <c r="AB883" s="11" t="s">
        <v>84</v>
      </c>
      <c r="AC883" s="11" t="s">
        <v>45</v>
      </c>
      <c r="AD883" s="11" t="s">
        <v>84</v>
      </c>
      <c r="AE883" s="11" t="s">
        <v>44</v>
      </c>
      <c r="AF883" s="11" t="s">
        <v>114</v>
      </c>
      <c r="AG883" s="11" t="s">
        <v>44</v>
      </c>
      <c r="AH883" s="11">
        <v>72</v>
      </c>
      <c r="AI883" s="11">
        <v>64</v>
      </c>
      <c r="AJ883" s="11">
        <v>93</v>
      </c>
      <c r="AK883" s="11" t="s">
        <v>66</v>
      </c>
      <c r="AL883" s="11">
        <v>4.4000000000000004</v>
      </c>
      <c r="AM883" s="10" t="s">
        <v>44</v>
      </c>
      <c r="AN883" s="9">
        <v>539</v>
      </c>
      <c r="AO883" s="8" t="s">
        <v>1329</v>
      </c>
      <c r="AP883" s="8" t="s">
        <v>64</v>
      </c>
      <c r="AQ883" s="8" t="s">
        <v>45</v>
      </c>
      <c r="AR883" s="8" t="s">
        <v>44</v>
      </c>
      <c r="AS883" s="8" t="s">
        <v>45</v>
      </c>
      <c r="AT883" s="8">
        <v>34</v>
      </c>
      <c r="AU883" s="8">
        <v>13.9</v>
      </c>
      <c r="AV883" s="8">
        <v>61</v>
      </c>
      <c r="AW883" s="8">
        <v>45</v>
      </c>
      <c r="AX883" s="8">
        <v>352</v>
      </c>
      <c r="AY883" s="8">
        <v>61</v>
      </c>
      <c r="AZ883" s="8" t="s">
        <v>37</v>
      </c>
      <c r="BA883" s="7">
        <v>1.1000000000000001</v>
      </c>
      <c r="BB883" s="9"/>
      <c r="BC883" s="8" t="s">
        <v>1328</v>
      </c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7"/>
    </row>
    <row r="884" spans="1:68" ht="14.25" customHeight="1">
      <c r="A884" s="12">
        <v>227</v>
      </c>
      <c r="B884" s="14">
        <v>234</v>
      </c>
      <c r="C884" s="13" t="s">
        <v>30</v>
      </c>
      <c r="D884" s="13" t="s">
        <v>149</v>
      </c>
      <c r="E884" s="13" t="s">
        <v>1325</v>
      </c>
      <c r="F884" s="11">
        <v>-19.399999999999999</v>
      </c>
      <c r="G884" s="11">
        <v>-18.399999999999999</v>
      </c>
      <c r="H884" s="11">
        <v>-10.6</v>
      </c>
      <c r="I884" s="11">
        <v>2.9</v>
      </c>
      <c r="J884" s="11">
        <v>12.1</v>
      </c>
      <c r="K884" s="11">
        <v>18.2</v>
      </c>
      <c r="L884" s="11">
        <v>20.2</v>
      </c>
      <c r="M884" s="11">
        <v>16.899999999999999</v>
      </c>
      <c r="N884" s="11">
        <v>11.2</v>
      </c>
      <c r="O884" s="11">
        <v>2.2000000000000002</v>
      </c>
      <c r="P884" s="11">
        <v>-8.5</v>
      </c>
      <c r="Q884" s="11">
        <v>-16.2</v>
      </c>
      <c r="R884" s="10">
        <v>0.9</v>
      </c>
      <c r="S884" s="12">
        <v>234</v>
      </c>
      <c r="T884" s="8" t="s">
        <v>1327</v>
      </c>
      <c r="U884" s="11">
        <v>-42</v>
      </c>
      <c r="V884" s="11">
        <v>-41</v>
      </c>
      <c r="W884" s="11">
        <v>-40</v>
      </c>
      <c r="X884" s="11">
        <v>-37</v>
      </c>
      <c r="Y884" s="11">
        <v>-24</v>
      </c>
      <c r="Z884" s="11">
        <v>-46</v>
      </c>
      <c r="AA884" s="11">
        <v>9.5</v>
      </c>
      <c r="AB884" s="11">
        <v>169</v>
      </c>
      <c r="AC884" s="11">
        <v>-12.7</v>
      </c>
      <c r="AD884" s="11">
        <v>218</v>
      </c>
      <c r="AE884" s="11">
        <v>-8.9</v>
      </c>
      <c r="AF884" s="11">
        <v>232</v>
      </c>
      <c r="AG884" s="11">
        <v>-7.8</v>
      </c>
      <c r="AH884" s="11">
        <v>80</v>
      </c>
      <c r="AI884" s="11">
        <v>79</v>
      </c>
      <c r="AJ884" s="11">
        <v>68</v>
      </c>
      <c r="AK884" s="11" t="s">
        <v>39</v>
      </c>
      <c r="AL884" s="11" t="s">
        <v>44</v>
      </c>
      <c r="AM884" s="10" t="s">
        <v>44</v>
      </c>
      <c r="AN884" s="9">
        <v>234</v>
      </c>
      <c r="AO884" s="8" t="s">
        <v>1326</v>
      </c>
      <c r="AP884" s="8">
        <v>995</v>
      </c>
      <c r="AQ884" s="8">
        <v>23.9</v>
      </c>
      <c r="AR884" s="8">
        <v>28</v>
      </c>
      <c r="AS884" s="8">
        <v>26.3</v>
      </c>
      <c r="AT884" s="8">
        <v>40</v>
      </c>
      <c r="AU884" s="8">
        <v>11.9</v>
      </c>
      <c r="AV884" s="8">
        <v>65</v>
      </c>
      <c r="AW884" s="8">
        <v>48</v>
      </c>
      <c r="AX884" s="8">
        <v>245</v>
      </c>
      <c r="AY884" s="8" t="s">
        <v>64</v>
      </c>
      <c r="AZ884" s="8" t="s">
        <v>43</v>
      </c>
      <c r="BA884" s="7" t="s">
        <v>46</v>
      </c>
      <c r="BB884" s="9">
        <v>206</v>
      </c>
      <c r="BC884" s="8" t="s">
        <v>1325</v>
      </c>
      <c r="BD884" s="8">
        <v>1.4</v>
      </c>
      <c r="BE884" s="8">
        <v>1.5</v>
      </c>
      <c r="BF884" s="8">
        <v>2.6</v>
      </c>
      <c r="BG884" s="8">
        <v>5.3</v>
      </c>
      <c r="BH884" s="8">
        <v>7.4</v>
      </c>
      <c r="BI884" s="8">
        <v>11.6</v>
      </c>
      <c r="BJ884" s="8">
        <v>14.7</v>
      </c>
      <c r="BK884" s="8">
        <v>12.7</v>
      </c>
      <c r="BL884" s="8">
        <v>8.6999999999999993</v>
      </c>
      <c r="BM884" s="8">
        <v>5.4</v>
      </c>
      <c r="BN884" s="8">
        <v>3.2</v>
      </c>
      <c r="BO884" s="8">
        <v>2</v>
      </c>
      <c r="BP884" s="7">
        <v>6.4</v>
      </c>
    </row>
    <row r="885" spans="1:68" ht="14.25" customHeight="1">
      <c r="A885" s="12">
        <v>228</v>
      </c>
      <c r="B885" s="14">
        <v>499</v>
      </c>
      <c r="C885" s="13" t="s">
        <v>121</v>
      </c>
      <c r="D885" s="13" t="s">
        <v>200</v>
      </c>
      <c r="E885" s="13" t="s">
        <v>1322</v>
      </c>
      <c r="F885" s="11">
        <v>-13</v>
      </c>
      <c r="G885" s="11">
        <v>-12.3</v>
      </c>
      <c r="H885" s="11">
        <v>-15.4</v>
      </c>
      <c r="I885" s="11">
        <v>8</v>
      </c>
      <c r="J885" s="11">
        <v>16.3</v>
      </c>
      <c r="K885" s="11">
        <v>21.8</v>
      </c>
      <c r="L885" s="11">
        <v>24.2</v>
      </c>
      <c r="M885" s="11">
        <v>22.4</v>
      </c>
      <c r="N885" s="11">
        <v>15.3</v>
      </c>
      <c r="O885" s="11">
        <v>5.6</v>
      </c>
      <c r="P885" s="11">
        <v>-2.2999999999999998</v>
      </c>
      <c r="Q885" s="11">
        <v>-9</v>
      </c>
      <c r="R885" s="10">
        <v>6</v>
      </c>
      <c r="S885" s="12">
        <v>499</v>
      </c>
      <c r="T885" s="8" t="s">
        <v>1322</v>
      </c>
      <c r="U885" s="11">
        <v>-39</v>
      </c>
      <c r="V885" s="11">
        <v>-37</v>
      </c>
      <c r="W885" s="11">
        <v>-35</v>
      </c>
      <c r="X885" s="11">
        <v>-33</v>
      </c>
      <c r="Y885" s="11" t="s">
        <v>49</v>
      </c>
      <c r="Z885" s="11">
        <v>-44</v>
      </c>
      <c r="AA885" s="11">
        <v>8.5</v>
      </c>
      <c r="AB885" s="11">
        <v>144</v>
      </c>
      <c r="AC885" s="11">
        <v>-8.6999999999999993</v>
      </c>
      <c r="AD885" s="11">
        <v>191</v>
      </c>
      <c r="AE885" s="11">
        <v>-5.6</v>
      </c>
      <c r="AF885" s="11">
        <v>202</v>
      </c>
      <c r="AG885" s="11">
        <v>-4.8</v>
      </c>
      <c r="AH885" s="11" t="s">
        <v>49</v>
      </c>
      <c r="AI885" s="11" t="s">
        <v>49</v>
      </c>
      <c r="AJ885" s="11">
        <v>83</v>
      </c>
      <c r="AK885" s="11" t="s">
        <v>27</v>
      </c>
      <c r="AL885" s="11">
        <v>5.3</v>
      </c>
      <c r="AM885" s="10">
        <v>4.2</v>
      </c>
      <c r="AN885" s="9">
        <v>499</v>
      </c>
      <c r="AO885" s="8" t="s">
        <v>1324</v>
      </c>
      <c r="AP885" s="8" t="s">
        <v>64</v>
      </c>
      <c r="AQ885" s="8" t="s">
        <v>45</v>
      </c>
      <c r="AR885" s="8" t="s">
        <v>44</v>
      </c>
      <c r="AS885" s="8">
        <v>31.1</v>
      </c>
      <c r="AT885" s="8">
        <v>42</v>
      </c>
      <c r="AU885" s="8">
        <v>13.3</v>
      </c>
      <c r="AV885" s="8" t="s">
        <v>45</v>
      </c>
      <c r="AW885" s="8" t="s">
        <v>44</v>
      </c>
      <c r="AX885" s="8">
        <v>143</v>
      </c>
      <c r="AY885" s="8" t="s">
        <v>64</v>
      </c>
      <c r="AZ885" s="8" t="s">
        <v>1323</v>
      </c>
      <c r="BA885" s="7">
        <v>3.2</v>
      </c>
      <c r="BB885" s="9"/>
      <c r="BC885" s="8" t="s">
        <v>1322</v>
      </c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7"/>
    </row>
    <row r="886" spans="1:68" ht="14.25" customHeight="1">
      <c r="A886" s="12">
        <v>229</v>
      </c>
      <c r="B886" s="14">
        <v>519</v>
      </c>
      <c r="C886" s="13" t="s">
        <v>121</v>
      </c>
      <c r="D886" s="13" t="s">
        <v>1321</v>
      </c>
      <c r="E886" s="13" t="s">
        <v>1319</v>
      </c>
      <c r="F886" s="11">
        <v>-13.8</v>
      </c>
      <c r="G886" s="11">
        <v>-13.6</v>
      </c>
      <c r="H886" s="11">
        <v>-7.8</v>
      </c>
      <c r="I886" s="11">
        <v>3.1</v>
      </c>
      <c r="J886" s="11">
        <v>10.8</v>
      </c>
      <c r="K886" s="11">
        <v>16</v>
      </c>
      <c r="L886" s="11">
        <v>18.100000000000001</v>
      </c>
      <c r="M886" s="11">
        <v>15.7</v>
      </c>
      <c r="N886" s="11">
        <v>10.1</v>
      </c>
      <c r="O886" s="11">
        <v>2.2000000000000002</v>
      </c>
      <c r="P886" s="11">
        <v>-6.6</v>
      </c>
      <c r="Q886" s="11">
        <v>-12</v>
      </c>
      <c r="R886" s="10">
        <v>1.9</v>
      </c>
      <c r="S886" s="12">
        <v>519</v>
      </c>
      <c r="T886" s="8" t="s">
        <v>1319</v>
      </c>
      <c r="U886" s="11">
        <v>-38</v>
      </c>
      <c r="V886" s="11">
        <v>-36</v>
      </c>
      <c r="W886" s="11">
        <v>-34</v>
      </c>
      <c r="X886" s="11">
        <v>-31</v>
      </c>
      <c r="Y886" s="11" t="s">
        <v>49</v>
      </c>
      <c r="Z886" s="11">
        <v>-45</v>
      </c>
      <c r="AA886" s="11">
        <v>11.2</v>
      </c>
      <c r="AB886" s="11">
        <v>165</v>
      </c>
      <c r="AC886" s="11">
        <v>-9.9</v>
      </c>
      <c r="AD886" s="11">
        <v>208</v>
      </c>
      <c r="AE886" s="11">
        <v>-7</v>
      </c>
      <c r="AF886" s="11">
        <v>238</v>
      </c>
      <c r="AG886" s="11">
        <v>-5.4</v>
      </c>
      <c r="AH886" s="11">
        <v>79</v>
      </c>
      <c r="AI886" s="11" t="s">
        <v>49</v>
      </c>
      <c r="AJ886" s="11">
        <v>60</v>
      </c>
      <c r="AK886" s="11" t="s">
        <v>34</v>
      </c>
      <c r="AL886" s="11">
        <v>8</v>
      </c>
      <c r="AM886" s="10" t="s">
        <v>44</v>
      </c>
      <c r="AN886" s="9">
        <v>519</v>
      </c>
      <c r="AO886" s="8" t="s">
        <v>1320</v>
      </c>
      <c r="AP886" s="8" t="s">
        <v>64</v>
      </c>
      <c r="AQ886" s="8" t="s">
        <v>45</v>
      </c>
      <c r="AR886" s="8" t="s">
        <v>44</v>
      </c>
      <c r="AS886" s="8">
        <v>25</v>
      </c>
      <c r="AT886" s="8">
        <v>37</v>
      </c>
      <c r="AU886" s="8">
        <v>14.7</v>
      </c>
      <c r="AV886" s="8">
        <v>52</v>
      </c>
      <c r="AW886" s="8" t="s">
        <v>44</v>
      </c>
      <c r="AX886" s="8">
        <v>262</v>
      </c>
      <c r="AY886" s="8" t="s">
        <v>64</v>
      </c>
      <c r="AZ886" s="8" t="s">
        <v>54</v>
      </c>
      <c r="BA886" s="7">
        <v>4.5999999999999996</v>
      </c>
      <c r="BB886" s="9"/>
      <c r="BC886" s="8" t="s">
        <v>1319</v>
      </c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7"/>
    </row>
    <row r="887" spans="1:68" ht="14.25" customHeight="1">
      <c r="A887" s="12">
        <v>230</v>
      </c>
      <c r="B887" s="14">
        <v>515</v>
      </c>
      <c r="C887" s="13" t="s">
        <v>121</v>
      </c>
      <c r="D887" s="13" t="s">
        <v>1318</v>
      </c>
      <c r="E887" s="13" t="s">
        <v>1316</v>
      </c>
      <c r="F887" s="11">
        <v>-15.2</v>
      </c>
      <c r="G887" s="11">
        <v>-14.5</v>
      </c>
      <c r="H887" s="11">
        <v>-7.4</v>
      </c>
      <c r="I887" s="11">
        <v>6.2</v>
      </c>
      <c r="J887" s="11">
        <v>14.7</v>
      </c>
      <c r="K887" s="11">
        <v>20.7</v>
      </c>
      <c r="L887" s="11">
        <v>23</v>
      </c>
      <c r="M887" s="11">
        <v>20.5</v>
      </c>
      <c r="N887" s="11">
        <v>13.8</v>
      </c>
      <c r="O887" s="11">
        <v>4.4000000000000004</v>
      </c>
      <c r="P887" s="11">
        <v>-4.9000000000000004</v>
      </c>
      <c r="Q887" s="11">
        <v>-11.9</v>
      </c>
      <c r="R887" s="10">
        <v>4.0999999999999996</v>
      </c>
      <c r="S887" s="12">
        <v>515</v>
      </c>
      <c r="T887" s="8" t="s">
        <v>1316</v>
      </c>
      <c r="U887" s="11">
        <v>-39</v>
      </c>
      <c r="V887" s="11">
        <v>-37</v>
      </c>
      <c r="W887" s="11">
        <v>-35</v>
      </c>
      <c r="X887" s="11">
        <v>-32</v>
      </c>
      <c r="Y887" s="11">
        <v>-21</v>
      </c>
      <c r="Z887" s="11" t="s">
        <v>44</v>
      </c>
      <c r="AA887" s="11">
        <v>9</v>
      </c>
      <c r="AB887" s="11">
        <v>154</v>
      </c>
      <c r="AC887" s="11">
        <v>-10.5</v>
      </c>
      <c r="AD887" s="11">
        <v>199</v>
      </c>
      <c r="AE887" s="11">
        <v>-7.2</v>
      </c>
      <c r="AF887" s="11">
        <v>212</v>
      </c>
      <c r="AG887" s="11">
        <v>-6.1</v>
      </c>
      <c r="AH887" s="11">
        <v>80</v>
      </c>
      <c r="AI887" s="11">
        <v>76</v>
      </c>
      <c r="AJ887" s="11">
        <v>68</v>
      </c>
      <c r="AK887" s="11" t="s">
        <v>44</v>
      </c>
      <c r="AL887" s="11" t="s">
        <v>44</v>
      </c>
      <c r="AM887" s="10" t="s">
        <v>44</v>
      </c>
      <c r="AN887" s="9">
        <v>515</v>
      </c>
      <c r="AO887" s="8" t="s">
        <v>1317</v>
      </c>
      <c r="AP887" s="8" t="s">
        <v>64</v>
      </c>
      <c r="AQ887" s="8">
        <v>27.4</v>
      </c>
      <c r="AR887" s="8">
        <v>31.8</v>
      </c>
      <c r="AS887" s="8">
        <v>29.8</v>
      </c>
      <c r="AT887" s="8">
        <v>41</v>
      </c>
      <c r="AU887" s="8">
        <v>14.2</v>
      </c>
      <c r="AV887" s="8">
        <v>42</v>
      </c>
      <c r="AW887" s="8">
        <v>30</v>
      </c>
      <c r="AX887" s="8">
        <v>115</v>
      </c>
      <c r="AY887" s="8" t="s">
        <v>64</v>
      </c>
      <c r="AZ887" s="8" t="s">
        <v>114</v>
      </c>
      <c r="BA887" s="7" t="s">
        <v>46</v>
      </c>
      <c r="BB887" s="9"/>
      <c r="BC887" s="8" t="s">
        <v>1316</v>
      </c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7"/>
    </row>
    <row r="888" spans="1:68" ht="14.25" customHeight="1">
      <c r="A888" s="12">
        <v>231</v>
      </c>
      <c r="B888" s="14">
        <v>594</v>
      </c>
      <c r="C888" s="13" t="s">
        <v>117</v>
      </c>
      <c r="D888" s="13" t="s">
        <v>970</v>
      </c>
      <c r="E888" s="13" t="s">
        <v>1314</v>
      </c>
      <c r="F888" s="11">
        <v>-1.4</v>
      </c>
      <c r="G888" s="11">
        <v>0.9</v>
      </c>
      <c r="H888" s="11">
        <v>6.6</v>
      </c>
      <c r="I888" s="11">
        <v>13.9</v>
      </c>
      <c r="J888" s="11">
        <v>18.8</v>
      </c>
      <c r="K888" s="11">
        <v>22.9</v>
      </c>
      <c r="L888" s="11">
        <v>25.4</v>
      </c>
      <c r="M888" s="11">
        <v>24</v>
      </c>
      <c r="N888" s="11">
        <v>19</v>
      </c>
      <c r="O888" s="11">
        <v>12.6</v>
      </c>
      <c r="P888" s="11">
        <v>5.7</v>
      </c>
      <c r="Q888" s="11">
        <v>0.8</v>
      </c>
      <c r="R888" s="10">
        <v>12.4</v>
      </c>
      <c r="S888" s="12">
        <v>583</v>
      </c>
      <c r="T888" s="8" t="s">
        <v>1314</v>
      </c>
      <c r="U888" s="11">
        <v>-17</v>
      </c>
      <c r="V888" s="11">
        <v>-15</v>
      </c>
      <c r="W888" s="11">
        <v>-14</v>
      </c>
      <c r="X888" s="11" t="s">
        <v>64</v>
      </c>
      <c r="Y888" s="11">
        <v>-4</v>
      </c>
      <c r="Z888" s="11">
        <v>-21</v>
      </c>
      <c r="AA888" s="11">
        <v>8.9</v>
      </c>
      <c r="AB888" s="11">
        <v>48</v>
      </c>
      <c r="AC888" s="11" t="s">
        <v>45</v>
      </c>
      <c r="AD888" s="11">
        <v>138</v>
      </c>
      <c r="AE888" s="11">
        <v>2</v>
      </c>
      <c r="AF888" s="11" t="s">
        <v>114</v>
      </c>
      <c r="AG888" s="11" t="s">
        <v>44</v>
      </c>
      <c r="AH888" s="11" t="s">
        <v>49</v>
      </c>
      <c r="AI888" s="11" t="s">
        <v>49</v>
      </c>
      <c r="AJ888" s="11" t="s">
        <v>84</v>
      </c>
      <c r="AK888" s="11" t="s">
        <v>44</v>
      </c>
      <c r="AL888" s="11">
        <v>2.6</v>
      </c>
      <c r="AM888" s="10" t="s">
        <v>44</v>
      </c>
      <c r="AN888" s="9">
        <v>584</v>
      </c>
      <c r="AO888" s="8" t="s">
        <v>1315</v>
      </c>
      <c r="AP888" s="8">
        <v>910</v>
      </c>
      <c r="AQ888" s="8">
        <v>32.9</v>
      </c>
      <c r="AR888" s="8">
        <v>36.700000000000003</v>
      </c>
      <c r="AS888" s="8">
        <v>32.799999999999997</v>
      </c>
      <c r="AT888" s="8">
        <v>41</v>
      </c>
      <c r="AU888" s="8">
        <v>13.5</v>
      </c>
      <c r="AV888" s="8" t="s">
        <v>45</v>
      </c>
      <c r="AW888" s="8" t="s">
        <v>44</v>
      </c>
      <c r="AX888" s="8" t="s">
        <v>44</v>
      </c>
      <c r="AY888" s="8">
        <v>76</v>
      </c>
      <c r="AZ888" s="8" t="s">
        <v>114</v>
      </c>
      <c r="BA888" s="7">
        <v>0</v>
      </c>
      <c r="BB888" s="9"/>
      <c r="BC888" s="8" t="s">
        <v>1314</v>
      </c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7"/>
    </row>
    <row r="889" spans="1:68" ht="14.25" customHeight="1">
      <c r="A889" s="12">
        <v>232</v>
      </c>
      <c r="B889" s="14">
        <v>7</v>
      </c>
      <c r="C889" s="13" t="s">
        <v>30</v>
      </c>
      <c r="D889" s="13" t="s">
        <v>438</v>
      </c>
      <c r="E889" s="13" t="s">
        <v>1311</v>
      </c>
      <c r="F889" s="11">
        <v>-22.8</v>
      </c>
      <c r="G889" s="11">
        <v>-18.8</v>
      </c>
      <c r="H889" s="11">
        <v>-9.1999999999999993</v>
      </c>
      <c r="I889" s="11">
        <v>2.2999999999999998</v>
      </c>
      <c r="J889" s="11">
        <v>9.5</v>
      </c>
      <c r="K889" s="11">
        <v>14.2</v>
      </c>
      <c r="L889" s="11">
        <v>15.5</v>
      </c>
      <c r="M889" s="11">
        <v>13.3</v>
      </c>
      <c r="N889" s="11">
        <v>7.9</v>
      </c>
      <c r="O889" s="11">
        <v>0.2</v>
      </c>
      <c r="P889" s="11">
        <v>-11.4</v>
      </c>
      <c r="Q889" s="11">
        <v>-19.899999999999999</v>
      </c>
      <c r="R889" s="10">
        <v>-1.6</v>
      </c>
      <c r="S889" s="12">
        <v>7</v>
      </c>
      <c r="T889" s="8" t="s">
        <v>1313</v>
      </c>
      <c r="U889" s="11">
        <v>-43</v>
      </c>
      <c r="V889" s="11">
        <v>-42</v>
      </c>
      <c r="W889" s="11">
        <v>-42</v>
      </c>
      <c r="X889" s="11">
        <v>-40</v>
      </c>
      <c r="Y889" s="11">
        <v>-28</v>
      </c>
      <c r="Z889" s="11">
        <v>-48</v>
      </c>
      <c r="AA889" s="11">
        <v>12.3</v>
      </c>
      <c r="AB889" s="11">
        <v>175</v>
      </c>
      <c r="AC889" s="11">
        <v>-14</v>
      </c>
      <c r="AD889" s="11">
        <v>237</v>
      </c>
      <c r="AE889" s="11">
        <v>-9.1999999999999993</v>
      </c>
      <c r="AF889" s="11">
        <v>258</v>
      </c>
      <c r="AG889" s="11">
        <v>-7.8</v>
      </c>
      <c r="AH889" s="11">
        <v>81</v>
      </c>
      <c r="AI889" s="11">
        <v>79</v>
      </c>
      <c r="AJ889" s="11">
        <v>81</v>
      </c>
      <c r="AK889" s="11" t="s">
        <v>56</v>
      </c>
      <c r="AL889" s="11">
        <v>1.8</v>
      </c>
      <c r="AM889" s="10">
        <v>1.7</v>
      </c>
      <c r="AN889" s="9">
        <v>7</v>
      </c>
      <c r="AO889" s="8" t="s">
        <v>1312</v>
      </c>
      <c r="AP889" s="8">
        <v>920</v>
      </c>
      <c r="AQ889" s="8">
        <v>21.4</v>
      </c>
      <c r="AR889" s="8">
        <v>25.6</v>
      </c>
      <c r="AS889" s="8">
        <v>23.8</v>
      </c>
      <c r="AT889" s="8">
        <v>36</v>
      </c>
      <c r="AU889" s="8">
        <v>16</v>
      </c>
      <c r="AV889" s="8">
        <v>73</v>
      </c>
      <c r="AW889" s="8">
        <v>54</v>
      </c>
      <c r="AX889" s="8">
        <v>361</v>
      </c>
      <c r="AY889" s="8">
        <v>35</v>
      </c>
      <c r="AZ889" s="8" t="s">
        <v>32</v>
      </c>
      <c r="BA889" s="7">
        <v>0</v>
      </c>
      <c r="BB889" s="9">
        <v>10</v>
      </c>
      <c r="BC889" s="8" t="s">
        <v>1311</v>
      </c>
      <c r="BD889" s="8">
        <v>1</v>
      </c>
      <c r="BE889" s="8">
        <v>1.3</v>
      </c>
      <c r="BF889" s="8">
        <v>2.4</v>
      </c>
      <c r="BG889" s="8">
        <v>4.4000000000000004</v>
      </c>
      <c r="BH889" s="8">
        <v>6.6</v>
      </c>
      <c r="BI889" s="8">
        <v>10.199999999999999</v>
      </c>
      <c r="BJ889" s="8">
        <v>12.3</v>
      </c>
      <c r="BK889" s="8">
        <v>10.7</v>
      </c>
      <c r="BL889" s="8">
        <v>7.2</v>
      </c>
      <c r="BM889" s="8">
        <v>4.5999999999999996</v>
      </c>
      <c r="BN889" s="8">
        <v>2.4</v>
      </c>
      <c r="BO889" s="8">
        <v>1.3</v>
      </c>
      <c r="BP889" s="7">
        <v>5.4</v>
      </c>
    </row>
    <row r="890" spans="1:68" ht="14.25" customHeight="1">
      <c r="A890" s="12">
        <v>233</v>
      </c>
      <c r="B890" s="14">
        <v>508</v>
      </c>
      <c r="C890" s="13" t="s">
        <v>121</v>
      </c>
      <c r="D890" s="13" t="s">
        <v>120</v>
      </c>
      <c r="E890" s="13" t="s">
        <v>1309</v>
      </c>
      <c r="F890" s="11">
        <v>-13.7</v>
      </c>
      <c r="G890" s="11">
        <v>-12.2</v>
      </c>
      <c r="H890" s="11">
        <v>-6.8</v>
      </c>
      <c r="I890" s="11">
        <v>2.7</v>
      </c>
      <c r="J890" s="11">
        <v>10.1</v>
      </c>
      <c r="K890" s="11">
        <v>14.8</v>
      </c>
      <c r="L890" s="11">
        <v>16.5</v>
      </c>
      <c r="M890" s="11">
        <v>14.9</v>
      </c>
      <c r="N890" s="11">
        <v>9.9</v>
      </c>
      <c r="O890" s="11">
        <v>2</v>
      </c>
      <c r="P890" s="11">
        <v>-7.6</v>
      </c>
      <c r="Q890" s="11">
        <v>-12.4</v>
      </c>
      <c r="R890" s="10">
        <v>1.5</v>
      </c>
      <c r="S890" s="12">
        <v>508</v>
      </c>
      <c r="T890" s="8" t="s">
        <v>1309</v>
      </c>
      <c r="U890" s="11">
        <v>-37</v>
      </c>
      <c r="V890" s="11">
        <v>-35</v>
      </c>
      <c r="W890" s="11">
        <v>-31</v>
      </c>
      <c r="X890" s="11">
        <v>-29</v>
      </c>
      <c r="Y890" s="11" t="s">
        <v>49</v>
      </c>
      <c r="Z890" s="11" t="s">
        <v>44</v>
      </c>
      <c r="AA890" s="11">
        <v>9.9</v>
      </c>
      <c r="AB890" s="11">
        <v>167</v>
      </c>
      <c r="AC890" s="11">
        <v>-9.6</v>
      </c>
      <c r="AD890" s="11">
        <v>225</v>
      </c>
      <c r="AE890" s="11">
        <v>-6</v>
      </c>
      <c r="AF890" s="11">
        <v>244</v>
      </c>
      <c r="AG890" s="11">
        <v>-4.8</v>
      </c>
      <c r="AH890" s="11">
        <v>65</v>
      </c>
      <c r="AI890" s="11" t="s">
        <v>49</v>
      </c>
      <c r="AJ890" s="11">
        <v>97</v>
      </c>
      <c r="AK890" s="11" t="s">
        <v>44</v>
      </c>
      <c r="AL890" s="11" t="s">
        <v>44</v>
      </c>
      <c r="AM890" s="10" t="s">
        <v>44</v>
      </c>
      <c r="AN890" s="9">
        <v>508</v>
      </c>
      <c r="AO890" s="8" t="s">
        <v>1310</v>
      </c>
      <c r="AP890" s="8" t="s">
        <v>64</v>
      </c>
      <c r="AQ890" s="8" t="s">
        <v>45</v>
      </c>
      <c r="AR890" s="8" t="s">
        <v>44</v>
      </c>
      <c r="AS890" s="8">
        <v>23.1</v>
      </c>
      <c r="AT890" s="8">
        <v>36</v>
      </c>
      <c r="AU890" s="8">
        <v>12.8</v>
      </c>
      <c r="AV890" s="8">
        <v>67</v>
      </c>
      <c r="AW890" s="8" t="s">
        <v>44</v>
      </c>
      <c r="AX890" s="8">
        <v>360</v>
      </c>
      <c r="AY890" s="8" t="s">
        <v>64</v>
      </c>
      <c r="AZ890" s="8" t="s">
        <v>114</v>
      </c>
      <c r="BA890" s="7" t="s">
        <v>46</v>
      </c>
      <c r="BB890" s="9"/>
      <c r="BC890" s="8" t="s">
        <v>1309</v>
      </c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7"/>
    </row>
    <row r="891" spans="1:68" ht="14.25" customHeight="1">
      <c r="A891" s="12">
        <v>234</v>
      </c>
      <c r="B891" s="14">
        <v>596</v>
      </c>
      <c r="C891" s="13" t="s">
        <v>117</v>
      </c>
      <c r="D891" s="13" t="s">
        <v>679</v>
      </c>
      <c r="E891" s="13" t="s">
        <v>1307</v>
      </c>
      <c r="F891" s="11">
        <v>-0.2</v>
      </c>
      <c r="G891" s="11">
        <v>2.2999999999999998</v>
      </c>
      <c r="H891" s="11">
        <v>7.5</v>
      </c>
      <c r="I891" s="11">
        <v>14.4</v>
      </c>
      <c r="J891" s="11">
        <v>20.399999999999999</v>
      </c>
      <c r="K891" s="11">
        <v>25.5</v>
      </c>
      <c r="L891" s="11">
        <v>27.9</v>
      </c>
      <c r="M891" s="11">
        <v>25.8</v>
      </c>
      <c r="N891" s="11">
        <v>20</v>
      </c>
      <c r="O891" s="11">
        <v>12.7</v>
      </c>
      <c r="P891" s="11">
        <v>6.2</v>
      </c>
      <c r="Q891" s="11">
        <v>1.8</v>
      </c>
      <c r="R891" s="10">
        <v>13.7</v>
      </c>
      <c r="S891" s="12">
        <v>585</v>
      </c>
      <c r="T891" s="8" t="s">
        <v>1307</v>
      </c>
      <c r="U891" s="11">
        <v>-19</v>
      </c>
      <c r="V891" s="11">
        <v>-16</v>
      </c>
      <c r="W891" s="11">
        <v>-16</v>
      </c>
      <c r="X891" s="11" t="s">
        <v>64</v>
      </c>
      <c r="Y891" s="11">
        <v>-3</v>
      </c>
      <c r="Z891" s="11">
        <v>-30</v>
      </c>
      <c r="AA891" s="11">
        <v>8.6</v>
      </c>
      <c r="AB891" s="11">
        <v>23</v>
      </c>
      <c r="AC891" s="11" t="s">
        <v>45</v>
      </c>
      <c r="AD891" s="11">
        <v>134</v>
      </c>
      <c r="AE891" s="11">
        <v>2.8</v>
      </c>
      <c r="AF891" s="11" t="s">
        <v>114</v>
      </c>
      <c r="AG891" s="11" t="s">
        <v>44</v>
      </c>
      <c r="AH891" s="11" t="s">
        <v>49</v>
      </c>
      <c r="AI891" s="11" t="s">
        <v>49</v>
      </c>
      <c r="AJ891" s="11" t="s">
        <v>84</v>
      </c>
      <c r="AK891" s="11" t="s">
        <v>44</v>
      </c>
      <c r="AL891" s="11">
        <v>3.7</v>
      </c>
      <c r="AM891" s="10" t="s">
        <v>44</v>
      </c>
      <c r="AN891" s="9">
        <v>586</v>
      </c>
      <c r="AO891" s="8" t="s">
        <v>1308</v>
      </c>
      <c r="AP891" s="8">
        <v>950</v>
      </c>
      <c r="AQ891" s="8">
        <v>33.1</v>
      </c>
      <c r="AR891" s="8">
        <v>37.200000000000003</v>
      </c>
      <c r="AS891" s="8">
        <v>35.799999999999997</v>
      </c>
      <c r="AT891" s="8">
        <v>44</v>
      </c>
      <c r="AU891" s="8">
        <v>15.6</v>
      </c>
      <c r="AV891" s="8" t="s">
        <v>45</v>
      </c>
      <c r="AW891" s="8" t="s">
        <v>44</v>
      </c>
      <c r="AX891" s="8" t="s">
        <v>44</v>
      </c>
      <c r="AY891" s="8" t="s">
        <v>64</v>
      </c>
      <c r="AZ891" s="8" t="s">
        <v>114</v>
      </c>
      <c r="BA891" s="7">
        <v>0</v>
      </c>
      <c r="BB891" s="9"/>
      <c r="BC891" s="8" t="s">
        <v>1307</v>
      </c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7"/>
    </row>
    <row r="892" spans="1:68" ht="14.25" customHeight="1">
      <c r="A892" s="12">
        <v>235</v>
      </c>
      <c r="B892" s="14">
        <v>464</v>
      </c>
      <c r="C892" s="13" t="s">
        <v>555</v>
      </c>
      <c r="D892" s="13" t="s">
        <v>555</v>
      </c>
      <c r="E892" s="13" t="s">
        <v>1306</v>
      </c>
      <c r="F892" s="11">
        <v>0.8</v>
      </c>
      <c r="G892" s="11">
        <v>2</v>
      </c>
      <c r="H892" s="11">
        <v>5.2</v>
      </c>
      <c r="I892" s="11">
        <v>11.4</v>
      </c>
      <c r="J892" s="11">
        <v>16.2</v>
      </c>
      <c r="K892" s="11">
        <v>20</v>
      </c>
      <c r="L892" s="11">
        <v>23.3</v>
      </c>
      <c r="M892" s="11">
        <v>22.8</v>
      </c>
      <c r="N892" s="11">
        <v>18.600000000000001</v>
      </c>
      <c r="O892" s="11">
        <v>12.8</v>
      </c>
      <c r="P892" s="11">
        <v>7.2</v>
      </c>
      <c r="Q892" s="11">
        <v>2.4</v>
      </c>
      <c r="R892" s="10">
        <v>11.9</v>
      </c>
      <c r="S892" s="12">
        <v>464</v>
      </c>
      <c r="T892" s="8" t="s">
        <v>1304</v>
      </c>
      <c r="U892" s="11">
        <v>-14</v>
      </c>
      <c r="V892" s="11">
        <v>-12</v>
      </c>
      <c r="W892" s="11">
        <v>-11</v>
      </c>
      <c r="X892" s="11">
        <v>-9</v>
      </c>
      <c r="Y892" s="11" t="s">
        <v>49</v>
      </c>
      <c r="Z892" s="11">
        <v>-22</v>
      </c>
      <c r="AA892" s="11" t="s">
        <v>49</v>
      </c>
      <c r="AB892" s="11">
        <v>0</v>
      </c>
      <c r="AC892" s="11" t="s">
        <v>50</v>
      </c>
      <c r="AD892" s="11">
        <v>140</v>
      </c>
      <c r="AE892" s="11">
        <v>3.1</v>
      </c>
      <c r="AF892" s="11">
        <v>159</v>
      </c>
      <c r="AG892" s="11">
        <v>3.8</v>
      </c>
      <c r="AH892" s="11">
        <v>73</v>
      </c>
      <c r="AI892" s="11">
        <v>53</v>
      </c>
      <c r="AJ892" s="11">
        <v>188</v>
      </c>
      <c r="AK892" s="11" t="s">
        <v>66</v>
      </c>
      <c r="AL892" s="11" t="s">
        <v>44</v>
      </c>
      <c r="AM892" s="10" t="s">
        <v>44</v>
      </c>
      <c r="AN892" s="9">
        <v>464</v>
      </c>
      <c r="AO892" s="8" t="s">
        <v>1305</v>
      </c>
      <c r="AP892" s="8">
        <v>935</v>
      </c>
      <c r="AQ892" s="8" t="s">
        <v>45</v>
      </c>
      <c r="AR892" s="8" t="s">
        <v>44</v>
      </c>
      <c r="AS892" s="8">
        <v>29.7</v>
      </c>
      <c r="AT892" s="8">
        <v>42</v>
      </c>
      <c r="AU892" s="8" t="s">
        <v>46</v>
      </c>
      <c r="AV892" s="8">
        <v>60</v>
      </c>
      <c r="AW892" s="8">
        <v>41</v>
      </c>
      <c r="AX892" s="8">
        <v>397</v>
      </c>
      <c r="AY892" s="8">
        <v>76</v>
      </c>
      <c r="AZ892" s="8" t="s">
        <v>25</v>
      </c>
      <c r="BA892" s="7">
        <v>0</v>
      </c>
      <c r="BB892" s="9"/>
      <c r="BC892" s="8" t="s">
        <v>1304</v>
      </c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7"/>
    </row>
    <row r="893" spans="1:68" ht="14.25" customHeight="1">
      <c r="A893" s="12">
        <v>236</v>
      </c>
      <c r="B893" s="14">
        <v>211</v>
      </c>
      <c r="C893" s="13" t="s">
        <v>30</v>
      </c>
      <c r="D893" s="13" t="s">
        <v>1008</v>
      </c>
      <c r="E893" s="13" t="s">
        <v>1301</v>
      </c>
      <c r="F893" s="11">
        <v>-10.9</v>
      </c>
      <c r="G893" s="11">
        <v>-9.8000000000000007</v>
      </c>
      <c r="H893" s="11">
        <v>-4.5999999999999996</v>
      </c>
      <c r="I893" s="11">
        <v>4.5999999999999996</v>
      </c>
      <c r="J893" s="11">
        <v>12.2</v>
      </c>
      <c r="K893" s="11">
        <v>16.3</v>
      </c>
      <c r="L893" s="11">
        <v>17.8</v>
      </c>
      <c r="M893" s="11">
        <v>16.5</v>
      </c>
      <c r="N893" s="11">
        <v>11</v>
      </c>
      <c r="O893" s="11">
        <v>4.0999999999999996</v>
      </c>
      <c r="P893" s="11">
        <v>-2.2999999999999998</v>
      </c>
      <c r="Q893" s="11">
        <v>-7</v>
      </c>
      <c r="R893" s="10">
        <v>4</v>
      </c>
      <c r="S893" s="12">
        <v>211</v>
      </c>
      <c r="T893" s="8" t="s">
        <v>1303</v>
      </c>
      <c r="U893" s="11">
        <v>-36</v>
      </c>
      <c r="V893" s="11">
        <v>-32</v>
      </c>
      <c r="W893" s="11">
        <v>-31</v>
      </c>
      <c r="X893" s="11">
        <v>-27</v>
      </c>
      <c r="Y893" s="11">
        <v>-16</v>
      </c>
      <c r="Z893" s="11">
        <v>-44</v>
      </c>
      <c r="AA893" s="11">
        <v>6.3</v>
      </c>
      <c r="AB893" s="11">
        <v>147</v>
      </c>
      <c r="AC893" s="11">
        <v>-6.7</v>
      </c>
      <c r="AD893" s="11">
        <v>212</v>
      </c>
      <c r="AE893" s="11">
        <v>-3.4</v>
      </c>
      <c r="AF893" s="11">
        <v>229</v>
      </c>
      <c r="AG893" s="11">
        <v>-2.5</v>
      </c>
      <c r="AH893" s="11">
        <v>85</v>
      </c>
      <c r="AI893" s="11">
        <v>85</v>
      </c>
      <c r="AJ893" s="11">
        <v>167</v>
      </c>
      <c r="AK893" s="11" t="s">
        <v>48</v>
      </c>
      <c r="AL893" s="11" t="s">
        <v>44</v>
      </c>
      <c r="AM893" s="10">
        <v>5</v>
      </c>
      <c r="AN893" s="9">
        <v>211</v>
      </c>
      <c r="AO893" s="8" t="s">
        <v>1302</v>
      </c>
      <c r="AP893" s="8">
        <v>995</v>
      </c>
      <c r="AQ893" s="8">
        <v>20.7</v>
      </c>
      <c r="AR893" s="8">
        <v>24.9</v>
      </c>
      <c r="AS893" s="8">
        <v>23.1</v>
      </c>
      <c r="AT893" s="8">
        <v>39</v>
      </c>
      <c r="AU893" s="8">
        <v>9.6</v>
      </c>
      <c r="AV893" s="8">
        <v>72</v>
      </c>
      <c r="AW893" s="8">
        <v>57</v>
      </c>
      <c r="AX893" s="8">
        <v>393</v>
      </c>
      <c r="AY893" s="8">
        <v>59</v>
      </c>
      <c r="AZ893" s="8" t="s">
        <v>43</v>
      </c>
      <c r="BA893" s="7" t="s">
        <v>46</v>
      </c>
      <c r="BB893" s="9">
        <v>186</v>
      </c>
      <c r="BC893" s="8" t="s">
        <v>1301</v>
      </c>
      <c r="BD893" s="8">
        <v>2.7</v>
      </c>
      <c r="BE893" s="8">
        <v>2.8</v>
      </c>
      <c r="BF893" s="8">
        <v>3.8</v>
      </c>
      <c r="BG893" s="8">
        <v>6.5</v>
      </c>
      <c r="BH893" s="8">
        <v>9.1999999999999993</v>
      </c>
      <c r="BI893" s="8">
        <v>12.4</v>
      </c>
      <c r="BJ893" s="8">
        <v>14.7</v>
      </c>
      <c r="BK893" s="8">
        <v>14</v>
      </c>
      <c r="BL893" s="8">
        <v>10.3</v>
      </c>
      <c r="BM893" s="8">
        <v>6.9</v>
      </c>
      <c r="BN893" s="8">
        <v>5</v>
      </c>
      <c r="BO893" s="8">
        <v>3.6</v>
      </c>
      <c r="BP893" s="7">
        <v>7.7</v>
      </c>
    </row>
    <row r="894" spans="1:68" ht="14.25" customHeight="1">
      <c r="A894" s="12">
        <v>237</v>
      </c>
      <c r="B894" s="14">
        <v>184</v>
      </c>
      <c r="C894" s="13" t="s">
        <v>30</v>
      </c>
      <c r="D894" s="13" t="s">
        <v>29</v>
      </c>
      <c r="E894" s="13" t="s">
        <v>1298</v>
      </c>
      <c r="F894" s="11">
        <v>-27.4</v>
      </c>
      <c r="G894" s="11">
        <v>-25.1</v>
      </c>
      <c r="H894" s="11">
        <v>-14.1</v>
      </c>
      <c r="I894" s="11">
        <v>-2.2000000000000002</v>
      </c>
      <c r="J894" s="11">
        <v>6.3</v>
      </c>
      <c r="K894" s="11">
        <v>14.9</v>
      </c>
      <c r="L894" s="11">
        <v>18.100000000000001</v>
      </c>
      <c r="M894" s="11">
        <v>14.2</v>
      </c>
      <c r="N894" s="11">
        <v>7.1</v>
      </c>
      <c r="O894" s="11">
        <v>-1.9</v>
      </c>
      <c r="P894" s="11">
        <v>-15.8</v>
      </c>
      <c r="Q894" s="11">
        <v>-25.7</v>
      </c>
      <c r="R894" s="10">
        <v>-4.3</v>
      </c>
      <c r="S894" s="12">
        <v>184</v>
      </c>
      <c r="T894" s="8" t="s">
        <v>1300</v>
      </c>
      <c r="U894" s="11">
        <v>-54</v>
      </c>
      <c r="V894" s="11">
        <v>-52</v>
      </c>
      <c r="W894" s="11">
        <v>-51</v>
      </c>
      <c r="X894" s="11">
        <v>-48</v>
      </c>
      <c r="Y894" s="11">
        <v>-32</v>
      </c>
      <c r="Z894" s="11">
        <v>-60</v>
      </c>
      <c r="AA894" s="11">
        <v>11.9</v>
      </c>
      <c r="AB894" s="11">
        <v>196</v>
      </c>
      <c r="AC894" s="11">
        <v>-17</v>
      </c>
      <c r="AD894" s="11">
        <v>252</v>
      </c>
      <c r="AE894" s="11">
        <v>-12.3</v>
      </c>
      <c r="AF894" s="11">
        <v>268</v>
      </c>
      <c r="AG894" s="11">
        <v>-11.1</v>
      </c>
      <c r="AH894" s="11">
        <v>78</v>
      </c>
      <c r="AI894" s="11">
        <v>77</v>
      </c>
      <c r="AJ894" s="11">
        <v>79</v>
      </c>
      <c r="AK894" s="11" t="s">
        <v>39</v>
      </c>
      <c r="AL894" s="11">
        <v>4.5</v>
      </c>
      <c r="AM894" s="10">
        <v>2.7</v>
      </c>
      <c r="AN894" s="9">
        <v>184</v>
      </c>
      <c r="AO894" s="8" t="s">
        <v>1299</v>
      </c>
      <c r="AP894" s="8">
        <v>985</v>
      </c>
      <c r="AQ894" s="8">
        <v>22.5</v>
      </c>
      <c r="AR894" s="8">
        <v>26.6</v>
      </c>
      <c r="AS894" s="8">
        <v>24.9</v>
      </c>
      <c r="AT894" s="8">
        <v>36</v>
      </c>
      <c r="AU894" s="8">
        <v>13.9</v>
      </c>
      <c r="AV894" s="8">
        <v>69</v>
      </c>
      <c r="AW894" s="8">
        <v>53</v>
      </c>
      <c r="AX894" s="8">
        <v>245</v>
      </c>
      <c r="AY894" s="8">
        <v>64</v>
      </c>
      <c r="AZ894" s="8" t="s">
        <v>82</v>
      </c>
      <c r="BA894" s="7">
        <v>0</v>
      </c>
      <c r="BB894" s="9">
        <v>162</v>
      </c>
      <c r="BC894" s="8" t="s">
        <v>1298</v>
      </c>
      <c r="BD894" s="8">
        <v>0.8</v>
      </c>
      <c r="BE894" s="8">
        <v>0.9</v>
      </c>
      <c r="BF894" s="8">
        <v>1.7</v>
      </c>
      <c r="BG894" s="8">
        <v>3.4</v>
      </c>
      <c r="BH894" s="8">
        <v>5.6</v>
      </c>
      <c r="BI894" s="8">
        <v>10.3</v>
      </c>
      <c r="BJ894" s="8">
        <v>14.1</v>
      </c>
      <c r="BK894" s="8">
        <v>12.3</v>
      </c>
      <c r="BL894" s="8">
        <v>7.9</v>
      </c>
      <c r="BM894" s="8">
        <v>4.3</v>
      </c>
      <c r="BN894" s="8">
        <v>2</v>
      </c>
      <c r="BO894" s="8">
        <v>1</v>
      </c>
      <c r="BP894" s="7">
        <v>5.4</v>
      </c>
    </row>
    <row r="895" spans="1:68" ht="14.25" customHeight="1">
      <c r="A895" s="12">
        <v>238</v>
      </c>
      <c r="B895" s="14">
        <v>139</v>
      </c>
      <c r="C895" s="13" t="s">
        <v>30</v>
      </c>
      <c r="D895" s="13" t="s">
        <v>325</v>
      </c>
      <c r="E895" s="13" t="s">
        <v>1295</v>
      </c>
      <c r="F895" s="11">
        <v>-18.8</v>
      </c>
      <c r="G895" s="11">
        <v>-16.899999999999999</v>
      </c>
      <c r="H895" s="11">
        <v>-9.8000000000000007</v>
      </c>
      <c r="I895" s="11">
        <v>1</v>
      </c>
      <c r="J895" s="11">
        <v>9.6999999999999993</v>
      </c>
      <c r="K895" s="11">
        <v>16.3</v>
      </c>
      <c r="L895" s="11">
        <v>18.8</v>
      </c>
      <c r="M895" s="11">
        <v>15.4</v>
      </c>
      <c r="N895" s="11">
        <v>9.5</v>
      </c>
      <c r="O895" s="11">
        <v>1.3</v>
      </c>
      <c r="P895" s="11">
        <v>-9.6</v>
      </c>
      <c r="Q895" s="11">
        <v>-16.899999999999999</v>
      </c>
      <c r="R895" s="10">
        <v>0</v>
      </c>
      <c r="S895" s="12">
        <v>139</v>
      </c>
      <c r="T895" s="8" t="s">
        <v>1297</v>
      </c>
      <c r="U895" s="11">
        <v>-46</v>
      </c>
      <c r="V895" s="11">
        <v>-42</v>
      </c>
      <c r="W895" s="11">
        <v>-42</v>
      </c>
      <c r="X895" s="11">
        <v>-39</v>
      </c>
      <c r="Y895" s="11">
        <v>-24</v>
      </c>
      <c r="Z895" s="11">
        <v>-50</v>
      </c>
      <c r="AA895" s="11">
        <v>9.8000000000000007</v>
      </c>
      <c r="AB895" s="11">
        <v>175</v>
      </c>
      <c r="AC895" s="11">
        <v>-12.2</v>
      </c>
      <c r="AD895" s="11">
        <v>231</v>
      </c>
      <c r="AE895" s="11">
        <v>-8.3000000000000007</v>
      </c>
      <c r="AF895" s="11">
        <v>246</v>
      </c>
      <c r="AG895" s="11">
        <v>-7.2</v>
      </c>
      <c r="AH895" s="11">
        <v>82</v>
      </c>
      <c r="AI895" s="11">
        <v>81</v>
      </c>
      <c r="AJ895" s="11">
        <v>94</v>
      </c>
      <c r="AK895" s="11" t="s">
        <v>34</v>
      </c>
      <c r="AL895" s="11">
        <v>6.8</v>
      </c>
      <c r="AM895" s="10">
        <v>4.9000000000000004</v>
      </c>
      <c r="AN895" s="9">
        <v>139</v>
      </c>
      <c r="AO895" s="8" t="s">
        <v>1296</v>
      </c>
      <c r="AP895" s="8">
        <v>990</v>
      </c>
      <c r="AQ895" s="8">
        <v>22.7</v>
      </c>
      <c r="AR895" s="8">
        <v>26.8</v>
      </c>
      <c r="AS895" s="8">
        <v>25.1</v>
      </c>
      <c r="AT895" s="8">
        <v>37</v>
      </c>
      <c r="AU895" s="8">
        <v>12.9</v>
      </c>
      <c r="AV895" s="8">
        <v>73</v>
      </c>
      <c r="AW895" s="8">
        <v>56</v>
      </c>
      <c r="AX895" s="8">
        <v>335</v>
      </c>
      <c r="AY895" s="8">
        <v>46</v>
      </c>
      <c r="AZ895" s="8" t="s">
        <v>82</v>
      </c>
      <c r="BA895" s="7">
        <v>0</v>
      </c>
      <c r="BB895" s="9">
        <v>122</v>
      </c>
      <c r="BC895" s="8" t="s">
        <v>1295</v>
      </c>
      <c r="BD895" s="8">
        <v>1.4</v>
      </c>
      <c r="BE895" s="8">
        <v>1.6</v>
      </c>
      <c r="BF895" s="8">
        <v>2.6</v>
      </c>
      <c r="BG895" s="8">
        <v>4.9000000000000004</v>
      </c>
      <c r="BH895" s="8">
        <v>7.2</v>
      </c>
      <c r="BI895" s="8">
        <v>12</v>
      </c>
      <c r="BJ895" s="8">
        <v>15.2</v>
      </c>
      <c r="BK895" s="8">
        <v>13.2</v>
      </c>
      <c r="BL895" s="8">
        <v>9</v>
      </c>
      <c r="BM895" s="8">
        <v>5.4</v>
      </c>
      <c r="BN895" s="8">
        <v>2.9</v>
      </c>
      <c r="BO895" s="8">
        <v>1.8</v>
      </c>
      <c r="BP895" s="7">
        <v>6.4</v>
      </c>
    </row>
    <row r="896" spans="1:68" ht="14.25" customHeight="1">
      <c r="A896" s="12">
        <v>239</v>
      </c>
      <c r="B896" s="14">
        <v>132</v>
      </c>
      <c r="C896" s="13" t="s">
        <v>30</v>
      </c>
      <c r="D896" s="13" t="s">
        <v>599</v>
      </c>
      <c r="E896" s="13" t="s">
        <v>1292</v>
      </c>
      <c r="F896" s="11">
        <v>-10.6</v>
      </c>
      <c r="G896" s="11">
        <v>-10.8</v>
      </c>
      <c r="H896" s="11">
        <v>-6.9</v>
      </c>
      <c r="I896" s="11">
        <v>-1</v>
      </c>
      <c r="J896" s="11">
        <v>4.5</v>
      </c>
      <c r="K896" s="11">
        <v>10.5</v>
      </c>
      <c r="L896" s="11">
        <v>13.8</v>
      </c>
      <c r="M896" s="11">
        <v>13.1</v>
      </c>
      <c r="N896" s="11">
        <v>8.4</v>
      </c>
      <c r="O896" s="11">
        <v>2.2000000000000002</v>
      </c>
      <c r="P896" s="11">
        <v>-2.8</v>
      </c>
      <c r="Q896" s="11">
        <v>-7.1</v>
      </c>
      <c r="R896" s="10">
        <v>1.1000000000000001</v>
      </c>
      <c r="S896" s="12">
        <v>132</v>
      </c>
      <c r="T896" s="8" t="s">
        <v>1294</v>
      </c>
      <c r="U896" s="11">
        <v>-35</v>
      </c>
      <c r="V896" s="11">
        <v>-32</v>
      </c>
      <c r="W896" s="11">
        <v>-29</v>
      </c>
      <c r="X896" s="11">
        <v>-27</v>
      </c>
      <c r="Y896" s="11">
        <v>-16</v>
      </c>
      <c r="Z896" s="11">
        <v>-40</v>
      </c>
      <c r="AA896" s="11">
        <v>7.1</v>
      </c>
      <c r="AB896" s="11">
        <v>174</v>
      </c>
      <c r="AC896" s="11">
        <v>-6.6</v>
      </c>
      <c r="AD896" s="11">
        <v>258</v>
      </c>
      <c r="AE896" s="11">
        <v>-3.2</v>
      </c>
      <c r="AF896" s="11">
        <v>281</v>
      </c>
      <c r="AG896" s="11">
        <v>-2.2000000000000002</v>
      </c>
      <c r="AH896" s="11">
        <v>86</v>
      </c>
      <c r="AI896" s="11">
        <v>81</v>
      </c>
      <c r="AJ896" s="11">
        <v>116</v>
      </c>
      <c r="AK896" s="11" t="s">
        <v>48</v>
      </c>
      <c r="AL896" s="11">
        <v>5.7</v>
      </c>
      <c r="AM896" s="10">
        <v>5.0999999999999996</v>
      </c>
      <c r="AN896" s="9">
        <v>132</v>
      </c>
      <c r="AO896" s="8" t="s">
        <v>1293</v>
      </c>
      <c r="AP896" s="8">
        <v>1010</v>
      </c>
      <c r="AQ896" s="8">
        <v>16.8</v>
      </c>
      <c r="AR896" s="8">
        <v>21.9</v>
      </c>
      <c r="AS896" s="8">
        <v>17.8</v>
      </c>
      <c r="AT896" s="8">
        <v>32</v>
      </c>
      <c r="AU896" s="8">
        <v>7.3</v>
      </c>
      <c r="AV896" s="8">
        <v>77</v>
      </c>
      <c r="AW896" s="8">
        <v>69</v>
      </c>
      <c r="AX896" s="8">
        <v>332</v>
      </c>
      <c r="AY896" s="8">
        <v>40</v>
      </c>
      <c r="AZ896" s="8" t="s">
        <v>32</v>
      </c>
      <c r="BA896" s="7">
        <v>4.0999999999999996</v>
      </c>
      <c r="BB896" s="9">
        <v>115</v>
      </c>
      <c r="BC896" s="8" t="s">
        <v>1292</v>
      </c>
      <c r="BD896" s="8">
        <v>2.6</v>
      </c>
      <c r="BE896" s="8">
        <v>2.6</v>
      </c>
      <c r="BF896" s="8">
        <v>3.2</v>
      </c>
      <c r="BG896" s="8">
        <v>4.5999999999999996</v>
      </c>
      <c r="BH896" s="8">
        <v>6.3</v>
      </c>
      <c r="BI896" s="8">
        <v>9.6</v>
      </c>
      <c r="BJ896" s="8">
        <v>12.4</v>
      </c>
      <c r="BK896" s="8">
        <v>12.4</v>
      </c>
      <c r="BL896" s="8">
        <v>93</v>
      </c>
      <c r="BM896" s="8">
        <v>63</v>
      </c>
      <c r="BN896" s="8">
        <v>4.5999999999999996</v>
      </c>
      <c r="BO896" s="8">
        <v>3.4</v>
      </c>
      <c r="BP896" s="7">
        <v>6.4</v>
      </c>
    </row>
    <row r="897" spans="1:68" ht="14.25" customHeight="1">
      <c r="A897" s="12">
        <v>240</v>
      </c>
      <c r="B897" s="14">
        <v>568</v>
      </c>
      <c r="C897" s="17" t="s">
        <v>208</v>
      </c>
      <c r="D897" s="17" t="s">
        <v>207</v>
      </c>
      <c r="E897" s="13" t="s">
        <v>1290</v>
      </c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0"/>
      <c r="S897" s="16">
        <v>568</v>
      </c>
      <c r="T897" s="8" t="s">
        <v>1290</v>
      </c>
      <c r="U897" s="11">
        <v>-19</v>
      </c>
      <c r="V897" s="11">
        <v>-16</v>
      </c>
      <c r="W897" s="11">
        <v>-16</v>
      </c>
      <c r="X897" s="11">
        <v>-12</v>
      </c>
      <c r="Y897" s="11">
        <v>-3</v>
      </c>
      <c r="Z897" s="11">
        <v>-25</v>
      </c>
      <c r="AA897" s="11">
        <v>10</v>
      </c>
      <c r="AB897" s="11">
        <v>0</v>
      </c>
      <c r="AC897" s="11" t="s">
        <v>50</v>
      </c>
      <c r="AD897" s="11">
        <v>96</v>
      </c>
      <c r="AE897" s="11">
        <v>4.5999999999999996</v>
      </c>
      <c r="AF897" s="11">
        <v>122</v>
      </c>
      <c r="AG897" s="11">
        <v>5.5</v>
      </c>
      <c r="AH897" s="11" t="s">
        <v>49</v>
      </c>
      <c r="AI897" s="11">
        <v>64</v>
      </c>
      <c r="AJ897" s="11">
        <v>141</v>
      </c>
      <c r="AK897" s="11" t="s">
        <v>27</v>
      </c>
      <c r="AL897" s="11">
        <v>4.9000000000000004</v>
      </c>
      <c r="AM897" s="10" t="s">
        <v>44</v>
      </c>
      <c r="AN897" s="9">
        <v>569</v>
      </c>
      <c r="AO897" s="8" t="s">
        <v>1291</v>
      </c>
      <c r="AP897" s="8">
        <v>985</v>
      </c>
      <c r="AQ897" s="8">
        <v>40</v>
      </c>
      <c r="AR897" s="8">
        <v>34</v>
      </c>
      <c r="AS897" s="8">
        <v>38.4</v>
      </c>
      <c r="AT897" s="8">
        <v>46</v>
      </c>
      <c r="AU897" s="8">
        <v>16.7</v>
      </c>
      <c r="AV897" s="8">
        <v>37</v>
      </c>
      <c r="AW897" s="8">
        <v>24</v>
      </c>
      <c r="AX897" s="8">
        <v>46</v>
      </c>
      <c r="AY897" s="8">
        <v>39</v>
      </c>
      <c r="AZ897" s="8" t="s">
        <v>54</v>
      </c>
      <c r="BA897" s="7">
        <v>1.7</v>
      </c>
      <c r="BB897" s="9"/>
      <c r="BC897" s="8" t="s">
        <v>1290</v>
      </c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7"/>
    </row>
    <row r="898" spans="1:68" ht="14.25" customHeight="1">
      <c r="A898" s="12">
        <v>241</v>
      </c>
      <c r="B898" s="14">
        <v>522</v>
      </c>
      <c r="C898" s="13" t="s">
        <v>121</v>
      </c>
      <c r="D898" s="13" t="s">
        <v>1289</v>
      </c>
      <c r="E898" s="13" t="s">
        <v>1286</v>
      </c>
      <c r="F898" s="11">
        <v>-9.1</v>
      </c>
      <c r="G898" s="11">
        <v>-7.3</v>
      </c>
      <c r="H898" s="11">
        <v>0.9</v>
      </c>
      <c r="I898" s="11">
        <v>12</v>
      </c>
      <c r="J898" s="11">
        <v>19.5</v>
      </c>
      <c r="K898" s="11">
        <v>24.5</v>
      </c>
      <c r="L898" s="11">
        <v>26.4</v>
      </c>
      <c r="M898" s="11">
        <v>23.9</v>
      </c>
      <c r="N898" s="11">
        <v>17.2</v>
      </c>
      <c r="O898" s="11">
        <v>8.6</v>
      </c>
      <c r="P898" s="11">
        <v>0.3</v>
      </c>
      <c r="Q898" s="11">
        <v>-6.2</v>
      </c>
      <c r="R898" s="10">
        <v>9.1999999999999993</v>
      </c>
      <c r="S898" s="12">
        <v>522</v>
      </c>
      <c r="T898" s="8" t="s">
        <v>1286</v>
      </c>
      <c r="U898" s="11">
        <v>-34</v>
      </c>
      <c r="V898" s="11">
        <v>-30</v>
      </c>
      <c r="W898" s="11">
        <v>-26</v>
      </c>
      <c r="X898" s="11">
        <v>-24</v>
      </c>
      <c r="Y898" s="11" t="s">
        <v>49</v>
      </c>
      <c r="Z898" s="11">
        <v>-38</v>
      </c>
      <c r="AA898" s="11">
        <v>8.6</v>
      </c>
      <c r="AB898" s="11">
        <v>118</v>
      </c>
      <c r="AC898" s="11">
        <v>-6.2</v>
      </c>
      <c r="AD898" s="11">
        <v>175</v>
      </c>
      <c r="AE898" s="11">
        <v>-4.3</v>
      </c>
      <c r="AF898" s="11">
        <v>181</v>
      </c>
      <c r="AG898" s="11">
        <v>-2.2999999999999998</v>
      </c>
      <c r="AH898" s="11">
        <v>79</v>
      </c>
      <c r="AI898" s="11" t="s">
        <v>49</v>
      </c>
      <c r="AJ898" s="11">
        <v>73</v>
      </c>
      <c r="AK898" s="11" t="s">
        <v>199</v>
      </c>
      <c r="AL898" s="11">
        <v>4.5</v>
      </c>
      <c r="AM898" s="10">
        <v>4.4000000000000004</v>
      </c>
      <c r="AN898" s="9">
        <v>522</v>
      </c>
      <c r="AO898" s="8" t="s">
        <v>1288</v>
      </c>
      <c r="AP898" s="8" t="s">
        <v>64</v>
      </c>
      <c r="AQ898" s="8" t="s">
        <v>45</v>
      </c>
      <c r="AR898" s="8" t="s">
        <v>44</v>
      </c>
      <c r="AS898" s="8">
        <v>34.1</v>
      </c>
      <c r="AT898" s="8">
        <v>46</v>
      </c>
      <c r="AU898" s="8">
        <v>15.7</v>
      </c>
      <c r="AV898" s="8">
        <v>37</v>
      </c>
      <c r="AW898" s="8" t="s">
        <v>44</v>
      </c>
      <c r="AX898" s="8">
        <v>56</v>
      </c>
      <c r="AY898" s="8" t="s">
        <v>64</v>
      </c>
      <c r="AZ898" s="8" t="s">
        <v>1287</v>
      </c>
      <c r="BA898" s="7">
        <v>3.1</v>
      </c>
      <c r="BB898" s="9"/>
      <c r="BC898" s="8" t="s">
        <v>1286</v>
      </c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7"/>
    </row>
    <row r="899" spans="1:68" ht="14.25" customHeight="1">
      <c r="A899" s="12">
        <v>242</v>
      </c>
      <c r="B899" s="14">
        <v>620</v>
      </c>
      <c r="C899" s="13" t="s">
        <v>52</v>
      </c>
      <c r="D899" s="13" t="s">
        <v>1285</v>
      </c>
      <c r="E899" s="13" t="s">
        <v>1283</v>
      </c>
      <c r="F899" s="11">
        <v>-5.6</v>
      </c>
      <c r="G899" s="11">
        <v>-4.2</v>
      </c>
      <c r="H899" s="11">
        <v>0.7</v>
      </c>
      <c r="I899" s="11">
        <v>8.6999999999999993</v>
      </c>
      <c r="J899" s="11">
        <v>15.1</v>
      </c>
      <c r="K899" s="11">
        <v>18.2</v>
      </c>
      <c r="L899" s="11">
        <v>19.3</v>
      </c>
      <c r="M899" s="11">
        <v>18.600000000000001</v>
      </c>
      <c r="N899" s="11">
        <v>13.9</v>
      </c>
      <c r="O899" s="11">
        <v>8.1</v>
      </c>
      <c r="P899" s="11">
        <v>2.1</v>
      </c>
      <c r="Q899" s="11">
        <v>-2.2999999999999998</v>
      </c>
      <c r="R899" s="10">
        <v>7.7</v>
      </c>
      <c r="S899" s="12">
        <v>609</v>
      </c>
      <c r="T899" s="8" t="s">
        <v>1283</v>
      </c>
      <c r="U899" s="11">
        <v>-29</v>
      </c>
      <c r="V899" s="11">
        <v>-26</v>
      </c>
      <c r="W899" s="11">
        <v>-25</v>
      </c>
      <c r="X899" s="11">
        <v>-22</v>
      </c>
      <c r="Y899" s="11">
        <v>-10</v>
      </c>
      <c r="Z899" s="11">
        <v>-32</v>
      </c>
      <c r="AA899" s="11" t="s">
        <v>49</v>
      </c>
      <c r="AB899" s="11">
        <v>103</v>
      </c>
      <c r="AC899" s="11">
        <v>-3.7</v>
      </c>
      <c r="AD899" s="11">
        <v>176</v>
      </c>
      <c r="AE899" s="11">
        <v>-0.6</v>
      </c>
      <c r="AF899" s="11">
        <v>193</v>
      </c>
      <c r="AG899" s="11">
        <v>0.3</v>
      </c>
      <c r="AH899" s="11" t="s">
        <v>49</v>
      </c>
      <c r="AI899" s="11" t="s">
        <v>49</v>
      </c>
      <c r="AJ899" s="11">
        <v>235</v>
      </c>
      <c r="AK899" s="11" t="s">
        <v>48</v>
      </c>
      <c r="AL899" s="11">
        <v>4.3</v>
      </c>
      <c r="AM899" s="10" t="s">
        <v>44</v>
      </c>
      <c r="AN899" s="9">
        <v>610</v>
      </c>
      <c r="AO899" s="8" t="s">
        <v>1284</v>
      </c>
      <c r="AP899" s="8">
        <v>995</v>
      </c>
      <c r="AQ899" s="8">
        <v>29</v>
      </c>
      <c r="AR899" s="8">
        <v>24</v>
      </c>
      <c r="AS899" s="8">
        <v>25.2</v>
      </c>
      <c r="AT899" s="8">
        <v>39</v>
      </c>
      <c r="AU899" s="8" t="s">
        <v>46</v>
      </c>
      <c r="AV899" s="8" t="s">
        <v>45</v>
      </c>
      <c r="AW899" s="8" t="s">
        <v>44</v>
      </c>
      <c r="AX899" s="8" t="s">
        <v>44</v>
      </c>
      <c r="AY899" s="8">
        <v>103</v>
      </c>
      <c r="AZ899" s="8" t="s">
        <v>32</v>
      </c>
      <c r="BA899" s="7">
        <v>1.6</v>
      </c>
      <c r="BB899" s="9"/>
      <c r="BC899" s="8" t="s">
        <v>1283</v>
      </c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7"/>
    </row>
    <row r="900" spans="1:68" ht="14.25" customHeight="1">
      <c r="A900" s="12">
        <v>243</v>
      </c>
      <c r="B900" s="14">
        <v>556</v>
      </c>
      <c r="C900" s="17" t="s">
        <v>208</v>
      </c>
      <c r="D900" s="17" t="s">
        <v>217</v>
      </c>
      <c r="E900" s="13" t="s">
        <v>1281</v>
      </c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0"/>
      <c r="S900" s="16">
        <v>556</v>
      </c>
      <c r="T900" s="8" t="s">
        <v>1281</v>
      </c>
      <c r="U900" s="11">
        <v>-19</v>
      </c>
      <c r="V900" s="11">
        <v>-18</v>
      </c>
      <c r="W900" s="11">
        <v>-17</v>
      </c>
      <c r="X900" s="11">
        <v>-14</v>
      </c>
      <c r="Y900" s="11">
        <v>-3</v>
      </c>
      <c r="Z900" s="11">
        <v>-26</v>
      </c>
      <c r="AA900" s="11">
        <v>8</v>
      </c>
      <c r="AB900" s="11">
        <v>0</v>
      </c>
      <c r="AC900" s="11" t="s">
        <v>50</v>
      </c>
      <c r="AD900" s="11">
        <v>118</v>
      </c>
      <c r="AE900" s="11">
        <v>3</v>
      </c>
      <c r="AF900" s="11">
        <v>135</v>
      </c>
      <c r="AG900" s="11">
        <v>3.8</v>
      </c>
      <c r="AH900" s="11" t="s">
        <v>49</v>
      </c>
      <c r="AI900" s="11">
        <v>72</v>
      </c>
      <c r="AJ900" s="11">
        <v>134</v>
      </c>
      <c r="AK900" s="11" t="s">
        <v>66</v>
      </c>
      <c r="AL900" s="11">
        <v>6.7</v>
      </c>
      <c r="AM900" s="10" t="s">
        <v>44</v>
      </c>
      <c r="AN900" s="9">
        <v>557</v>
      </c>
      <c r="AO900" s="8" t="s">
        <v>1282</v>
      </c>
      <c r="AP900" s="8">
        <v>1005</v>
      </c>
      <c r="AQ900" s="8">
        <v>40</v>
      </c>
      <c r="AR900" s="8">
        <v>35</v>
      </c>
      <c r="AS900" s="8">
        <v>38.4</v>
      </c>
      <c r="AT900" s="8">
        <v>47</v>
      </c>
      <c r="AU900" s="8">
        <v>13.5</v>
      </c>
      <c r="AV900" s="8">
        <v>38</v>
      </c>
      <c r="AW900" s="8">
        <v>28</v>
      </c>
      <c r="AX900" s="8">
        <v>103</v>
      </c>
      <c r="AY900" s="8">
        <v>77</v>
      </c>
      <c r="AZ900" s="8" t="s">
        <v>63</v>
      </c>
      <c r="BA900" s="7">
        <v>2.8</v>
      </c>
      <c r="BB900" s="9"/>
      <c r="BC900" s="8" t="s">
        <v>1281</v>
      </c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7"/>
    </row>
    <row r="901" spans="1:68" ht="14.25" customHeight="1">
      <c r="A901" s="12">
        <v>244</v>
      </c>
      <c r="B901" s="14">
        <v>557</v>
      </c>
      <c r="C901" s="17" t="s">
        <v>208</v>
      </c>
      <c r="D901" s="17" t="s">
        <v>217</v>
      </c>
      <c r="E901" s="13" t="s">
        <v>1279</v>
      </c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0"/>
      <c r="S901" s="16">
        <v>557</v>
      </c>
      <c r="T901" s="8" t="s">
        <v>1279</v>
      </c>
      <c r="U901" s="11">
        <v>-10</v>
      </c>
      <c r="V901" s="11">
        <v>-8</v>
      </c>
      <c r="W901" s="11">
        <v>-6</v>
      </c>
      <c r="X901" s="11">
        <v>-5</v>
      </c>
      <c r="Y901" s="11">
        <v>3</v>
      </c>
      <c r="Z901" s="11">
        <v>-15</v>
      </c>
      <c r="AA901" s="11">
        <v>10.3</v>
      </c>
      <c r="AB901" s="11">
        <v>0</v>
      </c>
      <c r="AC901" s="11" t="s">
        <v>50</v>
      </c>
      <c r="AD901" s="11">
        <v>82</v>
      </c>
      <c r="AE901" s="11">
        <v>6.3</v>
      </c>
      <c r="AF901" s="11">
        <v>111</v>
      </c>
      <c r="AG901" s="11">
        <v>6.9</v>
      </c>
      <c r="AH901" s="11" t="s">
        <v>49</v>
      </c>
      <c r="AI901" s="11">
        <v>61</v>
      </c>
      <c r="AJ901" s="11">
        <v>125</v>
      </c>
      <c r="AK901" s="11" t="s">
        <v>199</v>
      </c>
      <c r="AL901" s="11">
        <v>3.7</v>
      </c>
      <c r="AM901" s="10" t="s">
        <v>44</v>
      </c>
      <c r="AN901" s="9">
        <v>558</v>
      </c>
      <c r="AO901" s="8" t="s">
        <v>1280</v>
      </c>
      <c r="AP901" s="8">
        <v>1020</v>
      </c>
      <c r="AQ901" s="8">
        <v>38</v>
      </c>
      <c r="AR901" s="8">
        <v>32</v>
      </c>
      <c r="AS901" s="8">
        <v>36.299999999999997</v>
      </c>
      <c r="AT901" s="8">
        <v>48</v>
      </c>
      <c r="AU901" s="8">
        <v>13</v>
      </c>
      <c r="AV901" s="8">
        <v>58</v>
      </c>
      <c r="AW901" s="8">
        <v>34</v>
      </c>
      <c r="AX901" s="8">
        <v>76</v>
      </c>
      <c r="AY901" s="8">
        <v>91</v>
      </c>
      <c r="AZ901" s="8" t="s">
        <v>43</v>
      </c>
      <c r="BA901" s="7">
        <v>1.9</v>
      </c>
      <c r="BB901" s="9"/>
      <c r="BC901" s="8" t="s">
        <v>1279</v>
      </c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7"/>
    </row>
    <row r="902" spans="1:68" ht="14.25" customHeight="1">
      <c r="A902" s="12">
        <v>245</v>
      </c>
      <c r="B902" s="14">
        <v>82</v>
      </c>
      <c r="C902" s="13" t="s">
        <v>30</v>
      </c>
      <c r="D902" s="13" t="s">
        <v>1278</v>
      </c>
      <c r="E902" s="13" t="s">
        <v>1275</v>
      </c>
      <c r="F902" s="11">
        <v>-11.7</v>
      </c>
      <c r="G902" s="11">
        <v>-11.3</v>
      </c>
      <c r="H902" s="11">
        <v>-5.6</v>
      </c>
      <c r="I902" s="11">
        <v>3.4</v>
      </c>
      <c r="J902" s="11">
        <v>11.1</v>
      </c>
      <c r="K902" s="11">
        <v>15.9</v>
      </c>
      <c r="L902" s="11">
        <v>18.2</v>
      </c>
      <c r="M902" s="11">
        <v>15.9</v>
      </c>
      <c r="N902" s="11">
        <v>10</v>
      </c>
      <c r="O902" s="11">
        <v>3.3</v>
      </c>
      <c r="P902" s="11">
        <v>-3.5</v>
      </c>
      <c r="Q902" s="11">
        <v>-9.1</v>
      </c>
      <c r="R902" s="10">
        <v>3</v>
      </c>
      <c r="S902" s="12">
        <v>82</v>
      </c>
      <c r="T902" s="8" t="s">
        <v>1277</v>
      </c>
      <c r="U902" s="11">
        <v>-39</v>
      </c>
      <c r="V902" s="11">
        <v>-35</v>
      </c>
      <c r="W902" s="11">
        <v>-33</v>
      </c>
      <c r="X902" s="11">
        <v>-31</v>
      </c>
      <c r="Y902" s="11">
        <v>-17</v>
      </c>
      <c r="Z902" s="11">
        <v>-45</v>
      </c>
      <c r="AA902" s="11">
        <v>6.4</v>
      </c>
      <c r="AB902" s="11">
        <v>155</v>
      </c>
      <c r="AC902" s="11">
        <v>-7.6</v>
      </c>
      <c r="AD902" s="11">
        <v>221</v>
      </c>
      <c r="AE902" s="11">
        <v>-4.0999999999999996</v>
      </c>
      <c r="AF902" s="11">
        <v>238</v>
      </c>
      <c r="AG902" s="11">
        <v>-3.2</v>
      </c>
      <c r="AH902" s="11">
        <v>84</v>
      </c>
      <c r="AI902" s="11">
        <v>83</v>
      </c>
      <c r="AJ902" s="11">
        <v>268</v>
      </c>
      <c r="AK902" s="11" t="s">
        <v>39</v>
      </c>
      <c r="AL902" s="11" t="s">
        <v>44</v>
      </c>
      <c r="AM902" s="10">
        <v>4.0999999999999996</v>
      </c>
      <c r="AN902" s="9">
        <v>82</v>
      </c>
      <c r="AO902" s="8" t="s">
        <v>1276</v>
      </c>
      <c r="AP902" s="8">
        <v>1000</v>
      </c>
      <c r="AQ902" s="8">
        <v>21.4</v>
      </c>
      <c r="AR902" s="8">
        <v>25.6</v>
      </c>
      <c r="AS902" s="8">
        <v>23.8</v>
      </c>
      <c r="AT902" s="8">
        <v>38</v>
      </c>
      <c r="AU902" s="8">
        <v>11.3</v>
      </c>
      <c r="AV902" s="8">
        <v>71</v>
      </c>
      <c r="AW902" s="8">
        <v>56</v>
      </c>
      <c r="AX902" s="8">
        <v>450</v>
      </c>
      <c r="AY902" s="8">
        <v>60</v>
      </c>
      <c r="AZ902" s="8" t="s">
        <v>82</v>
      </c>
      <c r="BA902" s="7" t="s">
        <v>46</v>
      </c>
      <c r="BB902" s="9"/>
      <c r="BC902" s="8" t="s">
        <v>1275</v>
      </c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7"/>
    </row>
    <row r="903" spans="1:68" ht="14.25" customHeight="1">
      <c r="A903" s="12">
        <v>246</v>
      </c>
      <c r="B903" s="14">
        <v>95</v>
      </c>
      <c r="C903" s="13" t="s">
        <v>30</v>
      </c>
      <c r="D903" s="13" t="s">
        <v>300</v>
      </c>
      <c r="E903" s="13" t="s">
        <v>1272</v>
      </c>
      <c r="F903" s="11">
        <v>-27.4</v>
      </c>
      <c r="G903" s="11">
        <v>-23.8</v>
      </c>
      <c r="H903" s="11">
        <v>-13.8</v>
      </c>
      <c r="I903" s="11">
        <v>-2.2000000000000002</v>
      </c>
      <c r="J903" s="11">
        <v>6.7</v>
      </c>
      <c r="K903" s="11">
        <v>15</v>
      </c>
      <c r="L903" s="11">
        <v>18.3</v>
      </c>
      <c r="M903" s="11">
        <v>14.8</v>
      </c>
      <c r="N903" s="11">
        <v>7</v>
      </c>
      <c r="O903" s="11">
        <v>-2.4</v>
      </c>
      <c r="P903" s="11">
        <v>-15.9</v>
      </c>
      <c r="Q903" s="11">
        <v>-25.8</v>
      </c>
      <c r="R903" s="10">
        <v>-4.0999999999999996</v>
      </c>
      <c r="S903" s="12">
        <v>95</v>
      </c>
      <c r="T903" s="8" t="s">
        <v>1274</v>
      </c>
      <c r="U903" s="11">
        <v>-55</v>
      </c>
      <c r="V903" s="11">
        <v>-53</v>
      </c>
      <c r="W903" s="11">
        <v>-53</v>
      </c>
      <c r="X903" s="11">
        <v>-49</v>
      </c>
      <c r="Y903" s="11">
        <v>-32</v>
      </c>
      <c r="Z903" s="11">
        <v>-58</v>
      </c>
      <c r="AA903" s="11">
        <v>12.2</v>
      </c>
      <c r="AB903" s="11">
        <v>197</v>
      </c>
      <c r="AC903" s="11">
        <v>-16.8</v>
      </c>
      <c r="AD903" s="11">
        <v>251</v>
      </c>
      <c r="AE903" s="11">
        <v>-12.3</v>
      </c>
      <c r="AF903" s="11">
        <v>266</v>
      </c>
      <c r="AG903" s="11">
        <v>-11.1</v>
      </c>
      <c r="AH903" s="11">
        <v>78</v>
      </c>
      <c r="AI903" s="11">
        <v>77</v>
      </c>
      <c r="AJ903" s="11">
        <v>132</v>
      </c>
      <c r="AK903" s="11" t="s">
        <v>39</v>
      </c>
      <c r="AL903" s="11">
        <v>4.4000000000000004</v>
      </c>
      <c r="AM903" s="10">
        <v>1.9</v>
      </c>
      <c r="AN903" s="9">
        <v>95</v>
      </c>
      <c r="AO903" s="8" t="s">
        <v>1273</v>
      </c>
      <c r="AP903" s="8">
        <v>975</v>
      </c>
      <c r="AQ903" s="8">
        <v>22.5</v>
      </c>
      <c r="AR903" s="8">
        <v>26.1</v>
      </c>
      <c r="AS903" s="8">
        <v>25.1</v>
      </c>
      <c r="AT903" s="8">
        <v>37</v>
      </c>
      <c r="AU903" s="8">
        <v>13.4</v>
      </c>
      <c r="AV903" s="8">
        <v>74</v>
      </c>
      <c r="AW903" s="8">
        <v>56</v>
      </c>
      <c r="AX903" s="8">
        <v>325</v>
      </c>
      <c r="AY903" s="8">
        <v>67</v>
      </c>
      <c r="AZ903" s="8" t="s">
        <v>82</v>
      </c>
      <c r="BA903" s="7">
        <v>0</v>
      </c>
      <c r="BB903" s="9">
        <v>79</v>
      </c>
      <c r="BC903" s="8" t="s">
        <v>1272</v>
      </c>
      <c r="BD903" s="8">
        <v>0.8</v>
      </c>
      <c r="BE903" s="8">
        <v>0.9</v>
      </c>
      <c r="BF903" s="8">
        <v>1.7</v>
      </c>
      <c r="BG903" s="8">
        <v>3.4</v>
      </c>
      <c r="BH903" s="8">
        <v>5.6</v>
      </c>
      <c r="BI903" s="8">
        <v>10.9</v>
      </c>
      <c r="BJ903" s="8">
        <v>14.9</v>
      </c>
      <c r="BK903" s="8">
        <v>12.9</v>
      </c>
      <c r="BL903" s="8">
        <v>8</v>
      </c>
      <c r="BM903" s="8">
        <v>4.0999999999999996</v>
      </c>
      <c r="BN903" s="8">
        <v>1.8</v>
      </c>
      <c r="BO903" s="8">
        <v>1</v>
      </c>
      <c r="BP903" s="7">
        <v>5.5</v>
      </c>
    </row>
    <row r="904" spans="1:68" ht="14.25" customHeight="1">
      <c r="A904" s="12">
        <v>247</v>
      </c>
      <c r="B904" s="14">
        <v>618</v>
      </c>
      <c r="C904" s="13" t="s">
        <v>52</v>
      </c>
      <c r="D904" s="13" t="s">
        <v>1271</v>
      </c>
      <c r="E904" s="13" t="s">
        <v>1269</v>
      </c>
      <c r="F904" s="11">
        <v>-5.2</v>
      </c>
      <c r="G904" s="11">
        <v>-4</v>
      </c>
      <c r="H904" s="11">
        <v>0.7</v>
      </c>
      <c r="I904" s="11">
        <v>9</v>
      </c>
      <c r="J904" s="11">
        <v>15</v>
      </c>
      <c r="K904" s="11">
        <v>18.7</v>
      </c>
      <c r="L904" s="11">
        <v>20.7</v>
      </c>
      <c r="M904" s="11">
        <v>19.8</v>
      </c>
      <c r="N904" s="11">
        <v>14.8</v>
      </c>
      <c r="O904" s="11">
        <v>8.1</v>
      </c>
      <c r="P904" s="11">
        <v>2.5</v>
      </c>
      <c r="Q904" s="11">
        <v>-1.9</v>
      </c>
      <c r="R904" s="10">
        <v>8.1999999999999993</v>
      </c>
      <c r="S904" s="12">
        <v>607</v>
      </c>
      <c r="T904" s="8" t="s">
        <v>1269</v>
      </c>
      <c r="U904" s="11">
        <v>-28</v>
      </c>
      <c r="V904" s="11">
        <v>-25</v>
      </c>
      <c r="W904" s="11">
        <v>-23</v>
      </c>
      <c r="X904" s="11">
        <v>-22</v>
      </c>
      <c r="Y904" s="11">
        <v>-8</v>
      </c>
      <c r="Z904" s="11">
        <v>-33</v>
      </c>
      <c r="AA904" s="11" t="s">
        <v>49</v>
      </c>
      <c r="AB904" s="11">
        <v>99</v>
      </c>
      <c r="AC904" s="11">
        <v>-3.5</v>
      </c>
      <c r="AD904" s="11">
        <v>174</v>
      </c>
      <c r="AE904" s="11">
        <v>-0.4</v>
      </c>
      <c r="AF904" s="11">
        <v>191</v>
      </c>
      <c r="AG904" s="11">
        <v>0.4</v>
      </c>
      <c r="AH904" s="11" t="s">
        <v>49</v>
      </c>
      <c r="AI904" s="11" t="s">
        <v>49</v>
      </c>
      <c r="AJ904" s="11">
        <v>236</v>
      </c>
      <c r="AK904" s="11" t="s">
        <v>66</v>
      </c>
      <c r="AL904" s="11" t="s">
        <v>44</v>
      </c>
      <c r="AM904" s="10" t="s">
        <v>44</v>
      </c>
      <c r="AN904" s="9">
        <v>608</v>
      </c>
      <c r="AO904" s="8" t="s">
        <v>1270</v>
      </c>
      <c r="AP904" s="8">
        <v>990</v>
      </c>
      <c r="AQ904" s="8">
        <v>29</v>
      </c>
      <c r="AR904" s="8">
        <v>26</v>
      </c>
      <c r="AS904" s="8">
        <v>26.8</v>
      </c>
      <c r="AT904" s="8">
        <v>38</v>
      </c>
      <c r="AU904" s="8" t="s">
        <v>46</v>
      </c>
      <c r="AV904" s="8" t="s">
        <v>45</v>
      </c>
      <c r="AW904" s="8" t="s">
        <v>44</v>
      </c>
      <c r="AX904" s="8" t="s">
        <v>44</v>
      </c>
      <c r="AY904" s="8">
        <v>114</v>
      </c>
      <c r="AZ904" s="8" t="s">
        <v>32</v>
      </c>
      <c r="BA904" s="7">
        <v>1.9</v>
      </c>
      <c r="BB904" s="9"/>
      <c r="BC904" s="8" t="s">
        <v>1269</v>
      </c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7"/>
    </row>
    <row r="905" spans="1:68" ht="14.25" customHeight="1">
      <c r="A905" s="12">
        <v>248</v>
      </c>
      <c r="B905" s="14">
        <v>147</v>
      </c>
      <c r="C905" s="13" t="s">
        <v>30</v>
      </c>
      <c r="D905" s="13" t="s">
        <v>693</v>
      </c>
      <c r="E905" s="13" t="s">
        <v>1266</v>
      </c>
      <c r="F905" s="11">
        <v>-14.4</v>
      </c>
      <c r="G905" s="11">
        <v>-12.9</v>
      </c>
      <c r="H905" s="11">
        <v>-6.7</v>
      </c>
      <c r="I905" s="11">
        <v>2.2000000000000002</v>
      </c>
      <c r="J905" s="11">
        <v>10</v>
      </c>
      <c r="K905" s="11">
        <v>15.4</v>
      </c>
      <c r="L905" s="11">
        <v>17.899999999999999</v>
      </c>
      <c r="M905" s="11">
        <v>15.3</v>
      </c>
      <c r="N905" s="11">
        <v>9</v>
      </c>
      <c r="O905" s="11">
        <v>1.5</v>
      </c>
      <c r="P905" s="11">
        <v>-5.7</v>
      </c>
      <c r="Q905" s="11">
        <v>-11.8</v>
      </c>
      <c r="R905" s="10">
        <v>1.6</v>
      </c>
      <c r="S905" s="12">
        <v>147</v>
      </c>
      <c r="T905" s="8" t="s">
        <v>1268</v>
      </c>
      <c r="U905" s="11">
        <v>-39</v>
      </c>
      <c r="V905" s="11">
        <v>-37</v>
      </c>
      <c r="W905" s="11">
        <v>-35</v>
      </c>
      <c r="X905" s="11">
        <v>-33</v>
      </c>
      <c r="Y905" s="11">
        <v>-19</v>
      </c>
      <c r="Z905" s="11">
        <v>-45</v>
      </c>
      <c r="AA905" s="11">
        <v>7.2</v>
      </c>
      <c r="AB905" s="11">
        <v>168</v>
      </c>
      <c r="AC905" s="11">
        <v>-9</v>
      </c>
      <c r="AD905" s="11">
        <v>231</v>
      </c>
      <c r="AE905" s="11">
        <v>-5.4</v>
      </c>
      <c r="AF905" s="11">
        <v>247</v>
      </c>
      <c r="AG905" s="11">
        <v>-4.8</v>
      </c>
      <c r="AH905" s="11">
        <v>86</v>
      </c>
      <c r="AI905" s="11">
        <v>82</v>
      </c>
      <c r="AJ905" s="11">
        <v>167</v>
      </c>
      <c r="AK905" s="11" t="s">
        <v>34</v>
      </c>
      <c r="AL905" s="11">
        <v>5.3</v>
      </c>
      <c r="AM905" s="10">
        <v>3.9</v>
      </c>
      <c r="AN905" s="9">
        <v>147</v>
      </c>
      <c r="AO905" s="8" t="s">
        <v>1267</v>
      </c>
      <c r="AP905" s="8">
        <v>995</v>
      </c>
      <c r="AQ905" s="8">
        <v>21.8</v>
      </c>
      <c r="AR905" s="8">
        <v>25.7</v>
      </c>
      <c r="AS905" s="8">
        <v>23.1</v>
      </c>
      <c r="AT905" s="8">
        <v>37</v>
      </c>
      <c r="AU905" s="8">
        <v>10.1</v>
      </c>
      <c r="AV905" s="8">
        <v>70</v>
      </c>
      <c r="AW905" s="8">
        <v>57</v>
      </c>
      <c r="AX905" s="8">
        <v>415</v>
      </c>
      <c r="AY905" s="8">
        <v>137</v>
      </c>
      <c r="AZ905" s="8" t="s">
        <v>43</v>
      </c>
      <c r="BA905" s="7">
        <v>4</v>
      </c>
      <c r="BB905" s="9">
        <v>128</v>
      </c>
      <c r="BC905" s="8" t="s">
        <v>1266</v>
      </c>
      <c r="BD905" s="8">
        <v>2.1</v>
      </c>
      <c r="BE905" s="8">
        <v>2.2000000000000002</v>
      </c>
      <c r="BF905" s="8">
        <v>3.2</v>
      </c>
      <c r="BG905" s="8">
        <v>5.3</v>
      </c>
      <c r="BH905" s="8">
        <v>7.7</v>
      </c>
      <c r="BI905" s="8">
        <v>11.2</v>
      </c>
      <c r="BJ905" s="8">
        <v>14.1</v>
      </c>
      <c r="BK905" s="8">
        <v>12.8</v>
      </c>
      <c r="BL905" s="8">
        <v>9.6</v>
      </c>
      <c r="BM905" s="8">
        <v>6.1</v>
      </c>
      <c r="BN905" s="8">
        <v>4</v>
      </c>
      <c r="BO905" s="8">
        <v>2.7</v>
      </c>
      <c r="BP905" s="7">
        <v>6.8</v>
      </c>
    </row>
    <row r="906" spans="1:68" ht="14.25" customHeight="1">
      <c r="A906" s="12">
        <v>249</v>
      </c>
      <c r="B906" s="14">
        <v>623</v>
      </c>
      <c r="C906" s="13" t="s">
        <v>52</v>
      </c>
      <c r="D906" s="13" t="s">
        <v>1265</v>
      </c>
      <c r="E906" s="13" t="s">
        <v>1263</v>
      </c>
      <c r="F906" s="11">
        <v>-5.7</v>
      </c>
      <c r="G906" s="11">
        <v>-4.4000000000000004</v>
      </c>
      <c r="H906" s="11">
        <v>0.5</v>
      </c>
      <c r="I906" s="11">
        <v>8.9</v>
      </c>
      <c r="J906" s="11">
        <v>15.3</v>
      </c>
      <c r="K906" s="11">
        <v>18.600000000000001</v>
      </c>
      <c r="L906" s="11">
        <v>20</v>
      </c>
      <c r="M906" s="11">
        <v>19.399999999999999</v>
      </c>
      <c r="N906" s="11">
        <v>14.7</v>
      </c>
      <c r="O906" s="11">
        <v>8.1</v>
      </c>
      <c r="P906" s="11">
        <v>2.2999999999999998</v>
      </c>
      <c r="Q906" s="11">
        <v>-2.2999999999999998</v>
      </c>
      <c r="R906" s="10">
        <v>8</v>
      </c>
      <c r="S906" s="12">
        <v>612</v>
      </c>
      <c r="T906" s="8" t="s">
        <v>1263</v>
      </c>
      <c r="U906" s="11">
        <v>-30</v>
      </c>
      <c r="V906" s="11">
        <v>-26</v>
      </c>
      <c r="W906" s="11">
        <v>-25</v>
      </c>
      <c r="X906" s="11">
        <v>-22</v>
      </c>
      <c r="Y906" s="11">
        <v>-10</v>
      </c>
      <c r="Z906" s="11">
        <v>-35</v>
      </c>
      <c r="AA906" s="11" t="s">
        <v>49</v>
      </c>
      <c r="AB906" s="11">
        <v>102</v>
      </c>
      <c r="AC906" s="11">
        <v>-3.8</v>
      </c>
      <c r="AD906" s="11">
        <v>175</v>
      </c>
      <c r="AE906" s="11">
        <v>-0.7</v>
      </c>
      <c r="AF906" s="11">
        <v>191</v>
      </c>
      <c r="AG906" s="11">
        <v>0.1</v>
      </c>
      <c r="AH906" s="11" t="s">
        <v>49</v>
      </c>
      <c r="AI906" s="11" t="s">
        <v>49</v>
      </c>
      <c r="AJ906" s="11">
        <v>167</v>
      </c>
      <c r="AK906" s="11" t="s">
        <v>34</v>
      </c>
      <c r="AL906" s="11" t="s">
        <v>44</v>
      </c>
      <c r="AM906" s="10" t="s">
        <v>44</v>
      </c>
      <c r="AN906" s="9">
        <v>613</v>
      </c>
      <c r="AO906" s="8" t="s">
        <v>1264</v>
      </c>
      <c r="AP906" s="8">
        <v>995</v>
      </c>
      <c r="AQ906" s="8">
        <v>29</v>
      </c>
      <c r="AR906" s="8">
        <v>25</v>
      </c>
      <c r="AS906" s="8">
        <v>25.9</v>
      </c>
      <c r="AT906" s="8">
        <v>39</v>
      </c>
      <c r="AU906" s="8" t="s">
        <v>46</v>
      </c>
      <c r="AV906" s="8" t="s">
        <v>45</v>
      </c>
      <c r="AW906" s="8" t="s">
        <v>44</v>
      </c>
      <c r="AX906" s="8" t="s">
        <v>44</v>
      </c>
      <c r="AY906" s="8">
        <v>122</v>
      </c>
      <c r="AZ906" s="8" t="s">
        <v>54</v>
      </c>
      <c r="BA906" s="7">
        <v>2.8</v>
      </c>
      <c r="BB906" s="9"/>
      <c r="BC906" s="8" t="s">
        <v>1263</v>
      </c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7"/>
    </row>
    <row r="907" spans="1:68" ht="14.25" customHeight="1">
      <c r="A907" s="12">
        <v>250</v>
      </c>
      <c r="B907" s="14">
        <v>261</v>
      </c>
      <c r="C907" s="13" t="s">
        <v>30</v>
      </c>
      <c r="D907" s="13" t="s">
        <v>154</v>
      </c>
      <c r="E907" s="13" t="s">
        <v>1260</v>
      </c>
      <c r="F907" s="11">
        <v>-20.6</v>
      </c>
      <c r="G907" s="11">
        <v>-16.899999999999999</v>
      </c>
      <c r="H907" s="11">
        <v>-6.4</v>
      </c>
      <c r="I907" s="11">
        <v>5.0999999999999996</v>
      </c>
      <c r="J907" s="11">
        <v>12.7</v>
      </c>
      <c r="K907" s="11">
        <v>17.600000000000001</v>
      </c>
      <c r="L907" s="11">
        <v>21.5</v>
      </c>
      <c r="M907" s="11">
        <v>20.8</v>
      </c>
      <c r="N907" s="11">
        <v>14.2</v>
      </c>
      <c r="O907" s="11">
        <v>5.9</v>
      </c>
      <c r="P907" s="11">
        <v>-5.8</v>
      </c>
      <c r="Q907" s="11">
        <v>-16.7</v>
      </c>
      <c r="R907" s="10">
        <v>2.6</v>
      </c>
      <c r="S907" s="12">
        <v>261</v>
      </c>
      <c r="T907" s="8" t="s">
        <v>1262</v>
      </c>
      <c r="U907" s="11">
        <v>-37</v>
      </c>
      <c r="V907" s="11">
        <v>-35</v>
      </c>
      <c r="W907" s="11">
        <v>-34</v>
      </c>
      <c r="X907" s="11">
        <v>-31</v>
      </c>
      <c r="Y907" s="11">
        <v>-25</v>
      </c>
      <c r="Z907" s="11">
        <v>-44</v>
      </c>
      <c r="AA907" s="11">
        <v>13.7</v>
      </c>
      <c r="AB907" s="11">
        <v>151</v>
      </c>
      <c r="AC907" s="11">
        <v>-13.3</v>
      </c>
      <c r="AD907" s="11">
        <v>201</v>
      </c>
      <c r="AE907" s="11">
        <v>-8.8000000000000007</v>
      </c>
      <c r="AF907" s="11">
        <v>217</v>
      </c>
      <c r="AG907" s="11">
        <v>-7.5</v>
      </c>
      <c r="AH907" s="11">
        <v>73</v>
      </c>
      <c r="AI907" s="11">
        <v>69</v>
      </c>
      <c r="AJ907" s="11">
        <v>98</v>
      </c>
      <c r="AK907" s="11" t="s">
        <v>34</v>
      </c>
      <c r="AL907" s="11" t="s">
        <v>44</v>
      </c>
      <c r="AM907" s="10">
        <v>2.1</v>
      </c>
      <c r="AN907" s="9">
        <v>261</v>
      </c>
      <c r="AO907" s="8" t="s">
        <v>1261</v>
      </c>
      <c r="AP907" s="8">
        <v>1000</v>
      </c>
      <c r="AQ907" s="8">
        <v>25</v>
      </c>
      <c r="AR907" s="8">
        <v>30</v>
      </c>
      <c r="AS907" s="8">
        <v>27.3</v>
      </c>
      <c r="AT907" s="8">
        <v>38</v>
      </c>
      <c r="AU907" s="8">
        <v>10.7</v>
      </c>
      <c r="AV907" s="8">
        <v>79</v>
      </c>
      <c r="AW907" s="8">
        <v>70</v>
      </c>
      <c r="AX907" s="8">
        <v>599</v>
      </c>
      <c r="AY907" s="8">
        <v>117</v>
      </c>
      <c r="AZ907" s="8" t="s">
        <v>151</v>
      </c>
      <c r="BA907" s="7" t="s">
        <v>46</v>
      </c>
      <c r="BB907" s="9">
        <v>232</v>
      </c>
      <c r="BC907" s="8" t="s">
        <v>1260</v>
      </c>
      <c r="BD907" s="8">
        <v>1</v>
      </c>
      <c r="BE907" s="8">
        <v>1.3</v>
      </c>
      <c r="BF907" s="8">
        <v>2.7</v>
      </c>
      <c r="BG907" s="8">
        <v>5.3</v>
      </c>
      <c r="BH907" s="8">
        <v>8.8000000000000007</v>
      </c>
      <c r="BI907" s="8">
        <v>14.8</v>
      </c>
      <c r="BJ907" s="8">
        <v>20.2</v>
      </c>
      <c r="BK907" s="8">
        <v>19.8</v>
      </c>
      <c r="BL907" s="8">
        <v>12.4</v>
      </c>
      <c r="BM907" s="8">
        <v>6.4</v>
      </c>
      <c r="BN907" s="8">
        <v>3</v>
      </c>
      <c r="BO907" s="8">
        <v>1.4</v>
      </c>
      <c r="BP907" s="7">
        <v>8.1</v>
      </c>
    </row>
    <row r="908" spans="1:68" ht="14.25" customHeight="1">
      <c r="A908" s="12">
        <v>251</v>
      </c>
      <c r="B908" s="14">
        <v>289</v>
      </c>
      <c r="C908" s="13" t="s">
        <v>30</v>
      </c>
      <c r="D908" s="13" t="s">
        <v>72</v>
      </c>
      <c r="E908" s="13" t="s">
        <v>1257</v>
      </c>
      <c r="F908" s="11">
        <v>-23.6</v>
      </c>
      <c r="G908" s="11">
        <v>-19.7</v>
      </c>
      <c r="H908" s="11">
        <v>-12</v>
      </c>
      <c r="I908" s="11">
        <v>-1.7</v>
      </c>
      <c r="J908" s="11">
        <v>5.6</v>
      </c>
      <c r="K908" s="11">
        <v>11.7</v>
      </c>
      <c r="L908" s="11">
        <v>15.6</v>
      </c>
      <c r="M908" s="11">
        <v>15.5</v>
      </c>
      <c r="N908" s="11">
        <v>10.4</v>
      </c>
      <c r="O908" s="11">
        <v>2.1</v>
      </c>
      <c r="P908" s="11">
        <v>-9.1</v>
      </c>
      <c r="Q908" s="11">
        <v>-19.3</v>
      </c>
      <c r="R908" s="10">
        <v>-2</v>
      </c>
      <c r="S908" s="12">
        <v>289</v>
      </c>
      <c r="T908" s="8" t="s">
        <v>1259</v>
      </c>
      <c r="U908" s="11">
        <v>-40</v>
      </c>
      <c r="V908" s="11">
        <v>-39</v>
      </c>
      <c r="W908" s="11">
        <v>-38</v>
      </c>
      <c r="X908" s="11">
        <v>-36</v>
      </c>
      <c r="Y908" s="11">
        <v>-29</v>
      </c>
      <c r="Z908" s="11">
        <v>-48</v>
      </c>
      <c r="AA908" s="11">
        <v>14.4</v>
      </c>
      <c r="AB908" s="11">
        <v>183</v>
      </c>
      <c r="AC908" s="11">
        <v>-13.9</v>
      </c>
      <c r="AD908" s="11">
        <v>246</v>
      </c>
      <c r="AE908" s="11">
        <v>-9.1999999999999993</v>
      </c>
      <c r="AF908" s="11">
        <v>263</v>
      </c>
      <c r="AG908" s="11">
        <v>-8</v>
      </c>
      <c r="AH908" s="11">
        <v>79</v>
      </c>
      <c r="AI908" s="11">
        <v>77</v>
      </c>
      <c r="AJ908" s="11">
        <v>172</v>
      </c>
      <c r="AK908" s="11" t="s">
        <v>75</v>
      </c>
      <c r="AL908" s="11">
        <v>5.7</v>
      </c>
      <c r="AM908" s="10">
        <v>2.7</v>
      </c>
      <c r="AN908" s="9">
        <v>283</v>
      </c>
      <c r="AO908" s="8" t="s">
        <v>1258</v>
      </c>
      <c r="AP908" s="8">
        <v>1000</v>
      </c>
      <c r="AQ908" s="8">
        <v>19.100000000000001</v>
      </c>
      <c r="AR908" s="8">
        <v>23.4</v>
      </c>
      <c r="AS908" s="8">
        <v>21.5</v>
      </c>
      <c r="AT908" s="8">
        <v>35</v>
      </c>
      <c r="AU908" s="8">
        <v>10.5</v>
      </c>
      <c r="AV908" s="8">
        <v>84</v>
      </c>
      <c r="AW908" s="8">
        <v>68</v>
      </c>
      <c r="AX908" s="8">
        <v>472</v>
      </c>
      <c r="AY908" s="8">
        <v>70</v>
      </c>
      <c r="AZ908" s="8" t="s">
        <v>151</v>
      </c>
      <c r="BA908" s="7">
        <v>0</v>
      </c>
      <c r="BB908" s="9">
        <v>254</v>
      </c>
      <c r="BC908" s="8" t="s">
        <v>1257</v>
      </c>
      <c r="BD908" s="8">
        <v>1</v>
      </c>
      <c r="BE908" s="8">
        <v>1.2</v>
      </c>
      <c r="BF908" s="8">
        <v>2.1</v>
      </c>
      <c r="BG908" s="8">
        <v>4.0999999999999996</v>
      </c>
      <c r="BH908" s="8">
        <v>6.5</v>
      </c>
      <c r="BI908" s="8">
        <v>10.199999999999999</v>
      </c>
      <c r="BJ908" s="8">
        <v>14.4</v>
      </c>
      <c r="BK908" s="8">
        <v>14.9</v>
      </c>
      <c r="BL908" s="8">
        <v>10.7</v>
      </c>
      <c r="BM908" s="8">
        <v>5.9</v>
      </c>
      <c r="BN908" s="8">
        <v>2.9</v>
      </c>
      <c r="BO908" s="8">
        <v>1.4</v>
      </c>
      <c r="BP908" s="7">
        <v>6.3</v>
      </c>
    </row>
    <row r="909" spans="1:68" ht="14.25" customHeight="1">
      <c r="A909" s="12">
        <v>252</v>
      </c>
      <c r="B909" s="14">
        <v>140</v>
      </c>
      <c r="C909" s="13" t="s">
        <v>30</v>
      </c>
      <c r="D909" s="13" t="s">
        <v>325</v>
      </c>
      <c r="E909" s="13" t="s">
        <v>1254</v>
      </c>
      <c r="F909" s="11">
        <v>-17.2</v>
      </c>
      <c r="G909" s="11">
        <v>-15.5</v>
      </c>
      <c r="H909" s="11">
        <v>-8.1</v>
      </c>
      <c r="I909" s="11">
        <v>2</v>
      </c>
      <c r="J909" s="11">
        <v>10</v>
      </c>
      <c r="K909" s="11">
        <v>16.600000000000001</v>
      </c>
      <c r="L909" s="11">
        <v>18.8</v>
      </c>
      <c r="M909" s="11">
        <v>15.8</v>
      </c>
      <c r="N909" s="11">
        <v>10</v>
      </c>
      <c r="O909" s="11">
        <v>2.2000000000000002</v>
      </c>
      <c r="P909" s="11">
        <v>-8.3000000000000007</v>
      </c>
      <c r="Q909" s="11">
        <v>-15.4</v>
      </c>
      <c r="R909" s="10">
        <v>0.9</v>
      </c>
      <c r="S909" s="12">
        <v>140</v>
      </c>
      <c r="T909" s="8" t="s">
        <v>1256</v>
      </c>
      <c r="U909" s="11">
        <v>-45</v>
      </c>
      <c r="V909" s="11">
        <v>-42</v>
      </c>
      <c r="W909" s="11">
        <v>-40</v>
      </c>
      <c r="X909" s="11">
        <v>-39</v>
      </c>
      <c r="Y909" s="11">
        <v>-22</v>
      </c>
      <c r="Z909" s="11">
        <v>-50</v>
      </c>
      <c r="AA909" s="11">
        <v>8.5</v>
      </c>
      <c r="AB909" s="11">
        <v>169</v>
      </c>
      <c r="AC909" s="11">
        <v>-11.2</v>
      </c>
      <c r="AD909" s="11">
        <v>227</v>
      </c>
      <c r="AE909" s="11">
        <v>-7.3</v>
      </c>
      <c r="AF909" s="11">
        <v>242</v>
      </c>
      <c r="AG909" s="11">
        <v>-6.7</v>
      </c>
      <c r="AH909" s="11">
        <v>78</v>
      </c>
      <c r="AI909" s="11">
        <v>75</v>
      </c>
      <c r="AJ909" s="11">
        <v>98</v>
      </c>
      <c r="AK909" s="11" t="s">
        <v>39</v>
      </c>
      <c r="AL909" s="11">
        <v>5.5</v>
      </c>
      <c r="AM909" s="10" t="s">
        <v>44</v>
      </c>
      <c r="AN909" s="9">
        <v>140</v>
      </c>
      <c r="AO909" s="8" t="s">
        <v>1255</v>
      </c>
      <c r="AP909" s="8">
        <v>975</v>
      </c>
      <c r="AQ909" s="8">
        <v>22.5</v>
      </c>
      <c r="AR909" s="8">
        <v>26.6</v>
      </c>
      <c r="AS909" s="8">
        <v>24.9</v>
      </c>
      <c r="AT909" s="8">
        <v>38</v>
      </c>
      <c r="AU909" s="8">
        <v>11.9</v>
      </c>
      <c r="AV909" s="8">
        <v>72</v>
      </c>
      <c r="AW909" s="8">
        <v>56</v>
      </c>
      <c r="AX909" s="8">
        <v>338</v>
      </c>
      <c r="AY909" s="8">
        <v>49</v>
      </c>
      <c r="AZ909" s="8" t="s">
        <v>82</v>
      </c>
      <c r="BA909" s="7">
        <v>0</v>
      </c>
      <c r="BB909" s="9">
        <v>123</v>
      </c>
      <c r="BC909" s="8" t="s">
        <v>1254</v>
      </c>
      <c r="BD909" s="8">
        <v>1.5</v>
      </c>
      <c r="BE909" s="8">
        <v>1.8</v>
      </c>
      <c r="BF909" s="8">
        <v>2.7</v>
      </c>
      <c r="BG909" s="8">
        <v>4.8</v>
      </c>
      <c r="BH909" s="8">
        <v>7.1</v>
      </c>
      <c r="BI909" s="8">
        <v>11.9</v>
      </c>
      <c r="BJ909" s="8">
        <v>15</v>
      </c>
      <c r="BK909" s="8">
        <v>13</v>
      </c>
      <c r="BL909" s="8">
        <v>8.8000000000000007</v>
      </c>
      <c r="BM909" s="8">
        <v>5.3</v>
      </c>
      <c r="BN909" s="8">
        <v>2.9</v>
      </c>
      <c r="BO909" s="8">
        <v>1.9</v>
      </c>
      <c r="BP909" s="7">
        <v>6.4</v>
      </c>
    </row>
    <row r="910" spans="1:68" ht="14.25" customHeight="1">
      <c r="A910" s="12">
        <v>253</v>
      </c>
      <c r="B910" s="14">
        <v>306</v>
      </c>
      <c r="C910" s="13" t="s">
        <v>30</v>
      </c>
      <c r="D910" s="13" t="s">
        <v>559</v>
      </c>
      <c r="E910" s="13" t="s">
        <v>1250</v>
      </c>
      <c r="F910" s="11">
        <v>-3.3</v>
      </c>
      <c r="G910" s="11">
        <v>-2.4</v>
      </c>
      <c r="H910" s="11">
        <v>1.5</v>
      </c>
      <c r="I910" s="11">
        <v>8</v>
      </c>
      <c r="J910" s="11">
        <v>13</v>
      </c>
      <c r="K910" s="11">
        <v>16.2</v>
      </c>
      <c r="L910" s="11">
        <v>18.600000000000001</v>
      </c>
      <c r="M910" s="11">
        <v>18.2</v>
      </c>
      <c r="N910" s="11">
        <v>13.9</v>
      </c>
      <c r="O910" s="11">
        <v>8.3000000000000007</v>
      </c>
      <c r="P910" s="11">
        <v>3.2</v>
      </c>
      <c r="Q910" s="11">
        <v>-1.1000000000000001</v>
      </c>
      <c r="R910" s="10">
        <v>7.7</v>
      </c>
      <c r="S910" s="12">
        <v>306</v>
      </c>
      <c r="T910" s="8" t="s">
        <v>1253</v>
      </c>
      <c r="U910" s="11">
        <v>-22</v>
      </c>
      <c r="V910" s="11">
        <v>-20</v>
      </c>
      <c r="W910" s="11">
        <v>-18</v>
      </c>
      <c r="X910" s="11">
        <v>-16</v>
      </c>
      <c r="Y910" s="11">
        <v>-6</v>
      </c>
      <c r="Z910" s="11">
        <v>-29</v>
      </c>
      <c r="AA910" s="11">
        <v>9.4</v>
      </c>
      <c r="AB910" s="11">
        <v>91</v>
      </c>
      <c r="AC910" s="11" t="s">
        <v>1252</v>
      </c>
      <c r="AD910" s="11">
        <v>179</v>
      </c>
      <c r="AE910" s="11">
        <v>0.4</v>
      </c>
      <c r="AF910" s="11">
        <v>201</v>
      </c>
      <c r="AG910" s="11">
        <v>1.6</v>
      </c>
      <c r="AH910" s="11">
        <v>70</v>
      </c>
      <c r="AI910" s="11">
        <v>56</v>
      </c>
      <c r="AJ910" s="11" t="s">
        <v>84</v>
      </c>
      <c r="AK910" s="11" t="s">
        <v>34</v>
      </c>
      <c r="AL910" s="11" t="s">
        <v>44</v>
      </c>
      <c r="AM910" s="10">
        <v>2.2999999999999998</v>
      </c>
      <c r="AN910" s="9">
        <v>306</v>
      </c>
      <c r="AO910" s="8" t="s">
        <v>1251</v>
      </c>
      <c r="AP910" s="8">
        <v>910</v>
      </c>
      <c r="AQ910" s="8">
        <v>20</v>
      </c>
      <c r="AR910" s="8">
        <v>26</v>
      </c>
      <c r="AS910" s="8">
        <v>24.6</v>
      </c>
      <c r="AT910" s="8">
        <v>37</v>
      </c>
      <c r="AU910" s="8">
        <v>10.7</v>
      </c>
      <c r="AV910" s="8">
        <v>67</v>
      </c>
      <c r="AW910" s="8">
        <v>53</v>
      </c>
      <c r="AX910" s="8" t="s">
        <v>44</v>
      </c>
      <c r="AY910" s="8" t="s">
        <v>64</v>
      </c>
      <c r="AZ910" s="8" t="s">
        <v>25</v>
      </c>
      <c r="BA910" s="7" t="s">
        <v>46</v>
      </c>
      <c r="BB910" s="9"/>
      <c r="BC910" s="8" t="s">
        <v>1250</v>
      </c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7"/>
    </row>
    <row r="911" spans="1:68" ht="14.25" customHeight="1">
      <c r="A911" s="12">
        <v>254</v>
      </c>
      <c r="B911" s="14">
        <v>549</v>
      </c>
      <c r="C911" s="13" t="s">
        <v>1249</v>
      </c>
      <c r="D911" s="13" t="s">
        <v>1249</v>
      </c>
      <c r="E911" s="13" t="s">
        <v>1247</v>
      </c>
      <c r="F911" s="11">
        <v>-3.5</v>
      </c>
      <c r="G911" s="11">
        <v>-2.2000000000000002</v>
      </c>
      <c r="H911" s="11">
        <v>2.6</v>
      </c>
      <c r="I911" s="11">
        <v>9.6999999999999993</v>
      </c>
      <c r="J911" s="11">
        <v>15.9</v>
      </c>
      <c r="K911" s="11">
        <v>19.399999999999999</v>
      </c>
      <c r="L911" s="11">
        <v>21.4</v>
      </c>
      <c r="M911" s="11">
        <v>20.7</v>
      </c>
      <c r="N911" s="11">
        <v>16</v>
      </c>
      <c r="O911" s="11">
        <v>10.1</v>
      </c>
      <c r="P911" s="11">
        <v>4.0999999999999996</v>
      </c>
      <c r="Q911" s="11">
        <v>-0.8</v>
      </c>
      <c r="R911" s="10">
        <v>9.4</v>
      </c>
      <c r="S911" s="12">
        <v>549</v>
      </c>
      <c r="T911" s="8" t="s">
        <v>1247</v>
      </c>
      <c r="U911" s="11">
        <v>-24</v>
      </c>
      <c r="V911" s="11">
        <v>-22</v>
      </c>
      <c r="W911" s="11">
        <v>-20</v>
      </c>
      <c r="X911" s="11">
        <v>-17</v>
      </c>
      <c r="Y911" s="11">
        <v>-8</v>
      </c>
      <c r="Z911" s="11">
        <v>-32</v>
      </c>
      <c r="AA911" s="11">
        <v>5.9</v>
      </c>
      <c r="AB911" s="11">
        <v>82</v>
      </c>
      <c r="AC911" s="11">
        <v>-2.5</v>
      </c>
      <c r="AD911" s="11">
        <v>162</v>
      </c>
      <c r="AE911" s="11">
        <v>0.6</v>
      </c>
      <c r="AF911" s="11">
        <v>179</v>
      </c>
      <c r="AG911" s="11">
        <v>1.4</v>
      </c>
      <c r="AH911" s="11">
        <v>81</v>
      </c>
      <c r="AI911" s="11">
        <v>75</v>
      </c>
      <c r="AJ911" s="11">
        <v>130</v>
      </c>
      <c r="AK911" s="11" t="s">
        <v>75</v>
      </c>
      <c r="AL911" s="11">
        <v>5.7</v>
      </c>
      <c r="AM911" s="10" t="s">
        <v>44</v>
      </c>
      <c r="AN911" s="9">
        <v>549</v>
      </c>
      <c r="AO911" s="8" t="s">
        <v>1248</v>
      </c>
      <c r="AP911" s="8">
        <v>995</v>
      </c>
      <c r="AQ911" s="8">
        <v>31</v>
      </c>
      <c r="AR911" s="8">
        <v>26</v>
      </c>
      <c r="AS911" s="8">
        <v>28.1</v>
      </c>
      <c r="AT911" s="8">
        <v>39</v>
      </c>
      <c r="AU911" s="8">
        <v>12</v>
      </c>
      <c r="AV911" s="8">
        <v>63</v>
      </c>
      <c r="AW911" s="8">
        <v>49</v>
      </c>
      <c r="AX911" s="8">
        <v>346</v>
      </c>
      <c r="AY911" s="8">
        <v>218</v>
      </c>
      <c r="AZ911" s="8" t="s">
        <v>54</v>
      </c>
      <c r="BA911" s="7">
        <v>2.7</v>
      </c>
      <c r="BB911" s="9"/>
      <c r="BC911" s="8" t="s">
        <v>1247</v>
      </c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7"/>
    </row>
    <row r="912" spans="1:68" ht="14.25" customHeight="1">
      <c r="A912" s="12">
        <v>255</v>
      </c>
      <c r="B912" s="14">
        <v>650</v>
      </c>
      <c r="C912" s="13" t="s">
        <v>52</v>
      </c>
      <c r="D912" s="13" t="s">
        <v>51</v>
      </c>
      <c r="E912" s="13" t="s">
        <v>1245</v>
      </c>
      <c r="F912" s="11">
        <v>-1.5</v>
      </c>
      <c r="G912" s="11">
        <v>-0.5</v>
      </c>
      <c r="H912" s="11">
        <v>3.1</v>
      </c>
      <c r="I912" s="11">
        <v>10.4</v>
      </c>
      <c r="J912" s="11">
        <v>15.7</v>
      </c>
      <c r="K912" s="11">
        <v>19.899999999999999</v>
      </c>
      <c r="L912" s="11">
        <v>22.2</v>
      </c>
      <c r="M912" s="11">
        <v>21.5</v>
      </c>
      <c r="N912" s="11">
        <v>16.600000000000001</v>
      </c>
      <c r="O912" s="11">
        <v>10.4</v>
      </c>
      <c r="P912" s="11">
        <v>5.9</v>
      </c>
      <c r="Q912" s="11">
        <v>1.9</v>
      </c>
      <c r="R912" s="10">
        <v>10.5</v>
      </c>
      <c r="S912" s="12">
        <v>639</v>
      </c>
      <c r="T912" s="8" t="s">
        <v>1245</v>
      </c>
      <c r="U912" s="11">
        <v>-27</v>
      </c>
      <c r="V912" s="11">
        <v>-25</v>
      </c>
      <c r="W912" s="11">
        <v>-23</v>
      </c>
      <c r="X912" s="11">
        <v>-21</v>
      </c>
      <c r="Y912" s="11">
        <v>-9</v>
      </c>
      <c r="Z912" s="11">
        <v>-33</v>
      </c>
      <c r="AA912" s="11" t="s">
        <v>49</v>
      </c>
      <c r="AB912" s="11">
        <v>55</v>
      </c>
      <c r="AC912" s="11">
        <v>-1.1000000000000001</v>
      </c>
      <c r="AD912" s="11">
        <v>156</v>
      </c>
      <c r="AE912" s="11">
        <v>2</v>
      </c>
      <c r="AF912" s="11">
        <v>175</v>
      </c>
      <c r="AG912" s="11">
        <v>2.8</v>
      </c>
      <c r="AH912" s="11" t="s">
        <v>49</v>
      </c>
      <c r="AI912" s="11" t="s">
        <v>49</v>
      </c>
      <c r="AJ912" s="11">
        <v>160</v>
      </c>
      <c r="AK912" s="11" t="s">
        <v>66</v>
      </c>
      <c r="AL912" s="11" t="s">
        <v>44</v>
      </c>
      <c r="AM912" s="10" t="s">
        <v>44</v>
      </c>
      <c r="AN912" s="9">
        <v>640</v>
      </c>
      <c r="AO912" s="8" t="s">
        <v>1246</v>
      </c>
      <c r="AP912" s="8">
        <v>1010</v>
      </c>
      <c r="AQ912" s="8">
        <v>30</v>
      </c>
      <c r="AR912" s="8">
        <v>27</v>
      </c>
      <c r="AS912" s="8">
        <v>28.3</v>
      </c>
      <c r="AT912" s="8">
        <v>41</v>
      </c>
      <c r="AU912" s="8" t="s">
        <v>46</v>
      </c>
      <c r="AV912" s="8" t="s">
        <v>45</v>
      </c>
      <c r="AW912" s="8" t="s">
        <v>44</v>
      </c>
      <c r="AX912" s="8" t="s">
        <v>44</v>
      </c>
      <c r="AY912" s="8">
        <v>114</v>
      </c>
      <c r="AZ912" s="8" t="s">
        <v>54</v>
      </c>
      <c r="BA912" s="7">
        <v>1.9</v>
      </c>
      <c r="BB912" s="9"/>
      <c r="BC912" s="8" t="s">
        <v>1245</v>
      </c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7"/>
    </row>
    <row r="913" spans="1:68" ht="14.25" customHeight="1">
      <c r="A913" s="12">
        <v>256</v>
      </c>
      <c r="B913" s="14">
        <v>114</v>
      </c>
      <c r="C913" s="13" t="s">
        <v>30</v>
      </c>
      <c r="D913" s="13" t="s">
        <v>293</v>
      </c>
      <c r="E913" s="13" t="s">
        <v>1242</v>
      </c>
      <c r="F913" s="11">
        <v>-16.100000000000001</v>
      </c>
      <c r="G913" s="11">
        <v>-14</v>
      </c>
      <c r="H913" s="11">
        <v>-9.6999999999999993</v>
      </c>
      <c r="I913" s="11">
        <v>-2.7</v>
      </c>
      <c r="J913" s="11">
        <v>4.2</v>
      </c>
      <c r="K913" s="11">
        <v>10.8</v>
      </c>
      <c r="L913" s="11">
        <v>14.6</v>
      </c>
      <c r="M913" s="11">
        <v>13.6</v>
      </c>
      <c r="N913" s="11">
        <v>8.6999999999999993</v>
      </c>
      <c r="O913" s="11">
        <v>1.5</v>
      </c>
      <c r="P913" s="11">
        <v>-7.5</v>
      </c>
      <c r="Q913" s="11">
        <v>-14.1</v>
      </c>
      <c r="R913" s="10">
        <v>-0.9</v>
      </c>
      <c r="S913" s="12">
        <v>114</v>
      </c>
      <c r="T913" s="8" t="s">
        <v>1244</v>
      </c>
      <c r="U913" s="11">
        <v>-43</v>
      </c>
      <c r="V913" s="11">
        <v>-39</v>
      </c>
      <c r="W913" s="11">
        <v>-40</v>
      </c>
      <c r="X913" s="11">
        <v>-35</v>
      </c>
      <c r="Y913" s="11">
        <v>-21</v>
      </c>
      <c r="Z913" s="11">
        <v>-49</v>
      </c>
      <c r="AA913" s="11">
        <v>9</v>
      </c>
      <c r="AB913" s="11">
        <v>188</v>
      </c>
      <c r="AC913" s="11">
        <v>-10.1</v>
      </c>
      <c r="AD913" s="11">
        <v>257</v>
      </c>
      <c r="AE913" s="11">
        <v>-6.3</v>
      </c>
      <c r="AF913" s="11">
        <v>277</v>
      </c>
      <c r="AG913" s="11">
        <v>-5.0999999999999996</v>
      </c>
      <c r="AH913" s="11">
        <v>82</v>
      </c>
      <c r="AI913" s="11">
        <v>81</v>
      </c>
      <c r="AJ913" s="11">
        <v>492</v>
      </c>
      <c r="AK913" s="11" t="s">
        <v>48</v>
      </c>
      <c r="AL913" s="11">
        <v>7.2</v>
      </c>
      <c r="AM913" s="10">
        <v>5.2</v>
      </c>
      <c r="AN913" s="9">
        <v>114</v>
      </c>
      <c r="AO913" s="8" t="s">
        <v>1243</v>
      </c>
      <c r="AP913" s="8">
        <v>1005</v>
      </c>
      <c r="AQ913" s="8">
        <v>17.2</v>
      </c>
      <c r="AR913" s="8">
        <v>21</v>
      </c>
      <c r="AS913" s="8">
        <v>19.5</v>
      </c>
      <c r="AT913" s="8">
        <v>31</v>
      </c>
      <c r="AU913" s="8">
        <v>9.5</v>
      </c>
      <c r="AV913" s="8">
        <v>76</v>
      </c>
      <c r="AW913" s="8">
        <v>65</v>
      </c>
      <c r="AX913" s="8">
        <v>368</v>
      </c>
      <c r="AY913" s="8">
        <v>78</v>
      </c>
      <c r="AZ913" s="8" t="s">
        <v>63</v>
      </c>
      <c r="BA913" s="7">
        <v>0</v>
      </c>
      <c r="BB913" s="9">
        <v>98</v>
      </c>
      <c r="BC913" s="8" t="s">
        <v>1242</v>
      </c>
      <c r="BD913" s="8">
        <v>2</v>
      </c>
      <c r="BE913" s="8">
        <v>2</v>
      </c>
      <c r="BF913" s="8">
        <v>2.4</v>
      </c>
      <c r="BG913" s="8">
        <v>3.6</v>
      </c>
      <c r="BH913" s="8">
        <v>5.6</v>
      </c>
      <c r="BI913" s="8">
        <v>8.6999999999999993</v>
      </c>
      <c r="BJ913" s="8">
        <v>12.5</v>
      </c>
      <c r="BK913" s="8">
        <v>12.5</v>
      </c>
      <c r="BL913" s="8">
        <v>8.8000000000000007</v>
      </c>
      <c r="BM913" s="8">
        <v>4.9000000000000004</v>
      </c>
      <c r="BN913" s="8">
        <v>2.9</v>
      </c>
      <c r="BO913" s="8">
        <v>2.1</v>
      </c>
      <c r="BP913" s="7">
        <v>5.7</v>
      </c>
    </row>
    <row r="914" spans="1:68" ht="14.25" customHeight="1">
      <c r="A914" s="12">
        <v>257</v>
      </c>
      <c r="B914" s="14">
        <v>185</v>
      </c>
      <c r="C914" s="13" t="s">
        <v>30</v>
      </c>
      <c r="D914" s="13" t="s">
        <v>29</v>
      </c>
      <c r="E914" s="13" t="s">
        <v>1242</v>
      </c>
      <c r="F914" s="11">
        <v>-17.7</v>
      </c>
      <c r="G914" s="11">
        <v>-15.6</v>
      </c>
      <c r="H914" s="11">
        <v>-8</v>
      </c>
      <c r="I914" s="11">
        <v>0.8</v>
      </c>
      <c r="J914" s="11">
        <v>8.1999999999999993</v>
      </c>
      <c r="K914" s="11">
        <v>15.6</v>
      </c>
      <c r="L914" s="11">
        <v>18.100000000000001</v>
      </c>
      <c r="M914" s="11">
        <v>14.8</v>
      </c>
      <c r="N914" s="11">
        <v>8.5</v>
      </c>
      <c r="O914" s="11">
        <v>0.7</v>
      </c>
      <c r="P914" s="11">
        <v>-10.1</v>
      </c>
      <c r="Q914" s="11">
        <v>-16.899999999999999</v>
      </c>
      <c r="R914" s="10">
        <v>-0.1</v>
      </c>
      <c r="S914" s="12">
        <v>185</v>
      </c>
      <c r="T914" s="8" t="s">
        <v>1244</v>
      </c>
      <c r="U914" s="11">
        <v>-45</v>
      </c>
      <c r="V914" s="11">
        <v>-43</v>
      </c>
      <c r="W914" s="11">
        <v>-40</v>
      </c>
      <c r="X914" s="11">
        <v>-39</v>
      </c>
      <c r="Y914" s="11">
        <v>-23</v>
      </c>
      <c r="Z914" s="11">
        <v>-50</v>
      </c>
      <c r="AA914" s="11">
        <v>9.1</v>
      </c>
      <c r="AB914" s="11">
        <v>177</v>
      </c>
      <c r="AC914" s="11">
        <v>-11.5</v>
      </c>
      <c r="AD914" s="11">
        <v>240</v>
      </c>
      <c r="AE914" s="11">
        <v>-7.4</v>
      </c>
      <c r="AF914" s="11">
        <v>257</v>
      </c>
      <c r="AG914" s="11">
        <v>-6.3</v>
      </c>
      <c r="AH914" s="11">
        <v>75</v>
      </c>
      <c r="AI914" s="11">
        <v>71</v>
      </c>
      <c r="AJ914" s="11">
        <v>156</v>
      </c>
      <c r="AK914" s="11" t="s">
        <v>48</v>
      </c>
      <c r="AL914" s="11" t="s">
        <v>44</v>
      </c>
      <c r="AM914" s="10">
        <v>2.5</v>
      </c>
      <c r="AN914" s="9">
        <v>185</v>
      </c>
      <c r="AO914" s="8" t="s">
        <v>1243</v>
      </c>
      <c r="AP914" s="8">
        <v>970</v>
      </c>
      <c r="AQ914" s="8">
        <v>22.1</v>
      </c>
      <c r="AR914" s="8">
        <v>26.2</v>
      </c>
      <c r="AS914" s="8">
        <v>24.5</v>
      </c>
      <c r="AT914" s="8">
        <v>36</v>
      </c>
      <c r="AU914" s="8">
        <v>12.3</v>
      </c>
      <c r="AV914" s="8">
        <v>72</v>
      </c>
      <c r="AW914" s="8">
        <v>56</v>
      </c>
      <c r="AX914" s="8">
        <v>385</v>
      </c>
      <c r="AY914" s="8">
        <v>63</v>
      </c>
      <c r="AZ914" s="8" t="s">
        <v>43</v>
      </c>
      <c r="BA914" s="7" t="s">
        <v>46</v>
      </c>
      <c r="BB914" s="9">
        <v>163</v>
      </c>
      <c r="BC914" s="8" t="s">
        <v>1242</v>
      </c>
      <c r="BD914" s="8">
        <v>1.4</v>
      </c>
      <c r="BE914" s="8">
        <v>1.5</v>
      </c>
      <c r="BF914" s="8">
        <v>2.2999999999999998</v>
      </c>
      <c r="BG914" s="8">
        <v>3.9</v>
      </c>
      <c r="BH914" s="8">
        <v>6.1</v>
      </c>
      <c r="BI914" s="8">
        <v>11.1</v>
      </c>
      <c r="BJ914" s="8">
        <v>14.7</v>
      </c>
      <c r="BK914" s="8">
        <v>12.9</v>
      </c>
      <c r="BL914" s="8">
        <v>8.4</v>
      </c>
      <c r="BM914" s="8">
        <v>4.7</v>
      </c>
      <c r="BN914" s="8">
        <v>2.5</v>
      </c>
      <c r="BO914" s="8">
        <v>1.7</v>
      </c>
      <c r="BP914" s="7">
        <v>5.9</v>
      </c>
    </row>
    <row r="915" spans="1:68" ht="14.25" customHeight="1">
      <c r="A915" s="12">
        <v>258</v>
      </c>
      <c r="B915" s="14">
        <v>215</v>
      </c>
      <c r="C915" s="13" t="s">
        <v>30</v>
      </c>
      <c r="D915" s="13" t="s">
        <v>61</v>
      </c>
      <c r="E915" s="13" t="s">
        <v>1239</v>
      </c>
      <c r="F915" s="11">
        <v>-13.5</v>
      </c>
      <c r="G915" s="11">
        <v>-14.1</v>
      </c>
      <c r="H915" s="11">
        <v>-9.1999999999999993</v>
      </c>
      <c r="I915" s="11">
        <v>-3.1</v>
      </c>
      <c r="J915" s="11">
        <v>3.8</v>
      </c>
      <c r="K915" s="11">
        <v>10.6</v>
      </c>
      <c r="L915" s="11">
        <v>13.4</v>
      </c>
      <c r="M915" s="11">
        <v>11</v>
      </c>
      <c r="N915" s="11">
        <v>5.2</v>
      </c>
      <c r="O915" s="11">
        <v>-1.2</v>
      </c>
      <c r="P915" s="11">
        <v>-7.1</v>
      </c>
      <c r="Q915" s="11">
        <v>-11.3</v>
      </c>
      <c r="R915" s="10">
        <v>-1.3</v>
      </c>
      <c r="S915" s="12">
        <v>215</v>
      </c>
      <c r="T915" s="8" t="s">
        <v>1241</v>
      </c>
      <c r="U915" s="11">
        <v>-45</v>
      </c>
      <c r="V915" s="11">
        <v>-39</v>
      </c>
      <c r="W915" s="11">
        <v>-41</v>
      </c>
      <c r="X915" s="11">
        <v>-34</v>
      </c>
      <c r="Y915" s="11">
        <v>-19</v>
      </c>
      <c r="Z915" s="11">
        <v>-44</v>
      </c>
      <c r="AA915" s="11">
        <v>9.4</v>
      </c>
      <c r="AB915" s="11">
        <v>201</v>
      </c>
      <c r="AC915" s="11">
        <v>-8.6999999999999993</v>
      </c>
      <c r="AD915" s="11">
        <v>276</v>
      </c>
      <c r="AE915" s="11">
        <v>-5.2</v>
      </c>
      <c r="AF915" s="11">
        <v>296</v>
      </c>
      <c r="AG915" s="11">
        <v>-4.3</v>
      </c>
      <c r="AH915" s="11">
        <v>83</v>
      </c>
      <c r="AI915" s="11">
        <v>80</v>
      </c>
      <c r="AJ915" s="11">
        <v>159</v>
      </c>
      <c r="AK915" s="11" t="s">
        <v>39</v>
      </c>
      <c r="AL915" s="11">
        <v>3.5</v>
      </c>
      <c r="AM915" s="10">
        <v>2.4</v>
      </c>
      <c r="AN915" s="9">
        <v>215</v>
      </c>
      <c r="AO915" s="8" t="s">
        <v>1240</v>
      </c>
      <c r="AP915" s="8">
        <v>985</v>
      </c>
      <c r="AQ915" s="8">
        <v>16.3</v>
      </c>
      <c r="AR915" s="8">
        <v>20.8</v>
      </c>
      <c r="AS915" s="8">
        <v>18.7</v>
      </c>
      <c r="AT915" s="8">
        <v>32</v>
      </c>
      <c r="AU915" s="8">
        <v>12.3</v>
      </c>
      <c r="AV915" s="8">
        <v>71</v>
      </c>
      <c r="AW915" s="8">
        <v>57</v>
      </c>
      <c r="AX915" s="8">
        <v>410</v>
      </c>
      <c r="AY915" s="8">
        <v>57</v>
      </c>
      <c r="AZ915" s="8" t="s">
        <v>32</v>
      </c>
      <c r="BA915" s="7">
        <v>0</v>
      </c>
      <c r="BB915" s="9">
        <v>190</v>
      </c>
      <c r="BC915" s="8" t="s">
        <v>1239</v>
      </c>
      <c r="BD915" s="8">
        <v>2.2000000000000002</v>
      </c>
      <c r="BE915" s="8">
        <v>2.1</v>
      </c>
      <c r="BF915" s="8">
        <v>2.8</v>
      </c>
      <c r="BG915" s="8">
        <v>3.7</v>
      </c>
      <c r="BH915" s="8">
        <v>5.4</v>
      </c>
      <c r="BI915" s="8">
        <v>8.3000000000000007</v>
      </c>
      <c r="BJ915" s="8">
        <v>10.7</v>
      </c>
      <c r="BK915" s="8">
        <v>10.3</v>
      </c>
      <c r="BL915" s="8">
        <v>7.6</v>
      </c>
      <c r="BM915" s="8">
        <v>5.2</v>
      </c>
      <c r="BN915" s="8">
        <v>3.6</v>
      </c>
      <c r="BO915" s="8">
        <v>2.8</v>
      </c>
      <c r="BP915" s="7">
        <v>5.4</v>
      </c>
    </row>
    <row r="916" spans="1:68" ht="14.25" customHeight="1">
      <c r="A916" s="12">
        <v>259</v>
      </c>
      <c r="B916" s="14">
        <v>608</v>
      </c>
      <c r="C916" s="13" t="s">
        <v>52</v>
      </c>
      <c r="D916" s="13" t="s">
        <v>1086</v>
      </c>
      <c r="E916" s="13" t="s">
        <v>1237</v>
      </c>
      <c r="F916" s="11">
        <v>-4.7</v>
      </c>
      <c r="G916" s="11">
        <v>-3.4</v>
      </c>
      <c r="H916" s="11">
        <v>1</v>
      </c>
      <c r="I916" s="11">
        <v>7.9</v>
      </c>
      <c r="J916" s="11">
        <v>13.7</v>
      </c>
      <c r="K916" s="11">
        <v>16.8</v>
      </c>
      <c r="L916" s="11">
        <v>18</v>
      </c>
      <c r="M916" s="11">
        <v>17.2</v>
      </c>
      <c r="N916" s="11">
        <v>13</v>
      </c>
      <c r="O916" s="11">
        <v>7.8</v>
      </c>
      <c r="P916" s="11">
        <v>2.6</v>
      </c>
      <c r="Q916" s="11">
        <v>-1.8</v>
      </c>
      <c r="R916" s="10">
        <v>7.3</v>
      </c>
      <c r="S916" s="12">
        <v>597</v>
      </c>
      <c r="T916" s="8" t="s">
        <v>1237</v>
      </c>
      <c r="U916" s="11">
        <v>-28</v>
      </c>
      <c r="V916" s="11">
        <v>-25</v>
      </c>
      <c r="W916" s="11">
        <v>-23</v>
      </c>
      <c r="X916" s="11">
        <v>-21</v>
      </c>
      <c r="Y916" s="11">
        <v>-9</v>
      </c>
      <c r="Z916" s="11">
        <v>-35</v>
      </c>
      <c r="AA916" s="11" t="s">
        <v>49</v>
      </c>
      <c r="AB916" s="11">
        <v>97</v>
      </c>
      <c r="AC916" s="11">
        <v>-3.2</v>
      </c>
      <c r="AD916" s="11">
        <v>180</v>
      </c>
      <c r="AE916" s="11">
        <v>0</v>
      </c>
      <c r="AF916" s="11">
        <v>200</v>
      </c>
      <c r="AG916" s="11">
        <v>0.9</v>
      </c>
      <c r="AH916" s="11" t="s">
        <v>49</v>
      </c>
      <c r="AI916" s="11" t="s">
        <v>49</v>
      </c>
      <c r="AJ916" s="11">
        <v>176</v>
      </c>
      <c r="AK916" s="11" t="s">
        <v>48</v>
      </c>
      <c r="AL916" s="11" t="s">
        <v>44</v>
      </c>
      <c r="AM916" s="10" t="s">
        <v>44</v>
      </c>
      <c r="AN916" s="9">
        <v>598</v>
      </c>
      <c r="AO916" s="8" t="s">
        <v>1238</v>
      </c>
      <c r="AP916" s="8">
        <v>995</v>
      </c>
      <c r="AQ916" s="8">
        <v>27</v>
      </c>
      <c r="AR916" s="8">
        <v>23</v>
      </c>
      <c r="AS916" s="8">
        <v>23.7</v>
      </c>
      <c r="AT916" s="8">
        <v>37</v>
      </c>
      <c r="AU916" s="8" t="s">
        <v>46</v>
      </c>
      <c r="AV916" s="8" t="s">
        <v>45</v>
      </c>
      <c r="AW916" s="8" t="s">
        <v>44</v>
      </c>
      <c r="AX916" s="8" t="s">
        <v>44</v>
      </c>
      <c r="AY916" s="8">
        <v>122</v>
      </c>
      <c r="AZ916" s="8" t="s">
        <v>43</v>
      </c>
      <c r="BA916" s="7">
        <v>1.4</v>
      </c>
      <c r="BB916" s="9"/>
      <c r="BC916" s="8" t="s">
        <v>1237</v>
      </c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7"/>
    </row>
    <row r="917" spans="1:68" ht="14.25" customHeight="1">
      <c r="A917" s="12">
        <v>260</v>
      </c>
      <c r="B917" s="14">
        <v>115</v>
      </c>
      <c r="C917" s="13" t="s">
        <v>30</v>
      </c>
      <c r="D917" s="13" t="s">
        <v>293</v>
      </c>
      <c r="E917" s="13" t="s">
        <v>1234</v>
      </c>
      <c r="F917" s="11">
        <v>-17.899999999999999</v>
      </c>
      <c r="G917" s="11">
        <v>-15.1</v>
      </c>
      <c r="H917" s="11">
        <v>-10.199999999999999</v>
      </c>
      <c r="I917" s="11">
        <v>-2.1</v>
      </c>
      <c r="J917" s="11">
        <v>5.0999999999999996</v>
      </c>
      <c r="K917" s="11">
        <v>11.5</v>
      </c>
      <c r="L917" s="11">
        <v>14.9</v>
      </c>
      <c r="M917" s="11">
        <v>13.6</v>
      </c>
      <c r="N917" s="11">
        <v>8.1</v>
      </c>
      <c r="O917" s="11">
        <v>0.4</v>
      </c>
      <c r="P917" s="11">
        <v>-9.8000000000000007</v>
      </c>
      <c r="Q917" s="11">
        <v>-16.7</v>
      </c>
      <c r="R917" s="10">
        <v>-1.5</v>
      </c>
      <c r="S917" s="12">
        <v>115</v>
      </c>
      <c r="T917" s="8" t="s">
        <v>1236</v>
      </c>
      <c r="U917" s="11">
        <v>-41</v>
      </c>
      <c r="V917" s="11">
        <v>-39</v>
      </c>
      <c r="W917" s="11">
        <v>-39</v>
      </c>
      <c r="X917" s="11">
        <v>-37</v>
      </c>
      <c r="Y917" s="11">
        <v>-23</v>
      </c>
      <c r="Z917" s="11">
        <v>-48</v>
      </c>
      <c r="AA917" s="11">
        <v>12</v>
      </c>
      <c r="AB917" s="11">
        <v>189</v>
      </c>
      <c r="AC917" s="11">
        <v>-11.3</v>
      </c>
      <c r="AD917" s="11">
        <v>256</v>
      </c>
      <c r="AE917" s="11">
        <v>-7.3</v>
      </c>
      <c r="AF917" s="11">
        <v>276</v>
      </c>
      <c r="AG917" s="11">
        <v>-6.1</v>
      </c>
      <c r="AH917" s="11">
        <v>82</v>
      </c>
      <c r="AI917" s="11">
        <v>81</v>
      </c>
      <c r="AJ917" s="11">
        <v>234</v>
      </c>
      <c r="AK917" s="11" t="s">
        <v>56</v>
      </c>
      <c r="AL917" s="11" t="s">
        <v>44</v>
      </c>
      <c r="AM917" s="10" t="s">
        <v>44</v>
      </c>
      <c r="AN917" s="9">
        <v>115</v>
      </c>
      <c r="AO917" s="8" t="s">
        <v>1235</v>
      </c>
      <c r="AP917" s="8">
        <v>1005</v>
      </c>
      <c r="AQ917" s="8">
        <v>18.7</v>
      </c>
      <c r="AR917" s="8">
        <v>23</v>
      </c>
      <c r="AS917" s="8">
        <v>21.1</v>
      </c>
      <c r="AT917" s="8">
        <v>32</v>
      </c>
      <c r="AU917" s="8">
        <v>12.1</v>
      </c>
      <c r="AV917" s="8">
        <v>75</v>
      </c>
      <c r="AW917" s="8">
        <v>61</v>
      </c>
      <c r="AX917" s="8">
        <v>278</v>
      </c>
      <c r="AY917" s="8">
        <v>40</v>
      </c>
      <c r="AZ917" s="8" t="s">
        <v>32</v>
      </c>
      <c r="BA917" s="7" t="s">
        <v>46</v>
      </c>
      <c r="BB917" s="9">
        <v>99</v>
      </c>
      <c r="BC917" s="8" t="s">
        <v>1234</v>
      </c>
      <c r="BD917" s="8">
        <v>1.8</v>
      </c>
      <c r="BE917" s="8">
        <v>1.9</v>
      </c>
      <c r="BF917" s="8">
        <v>2.4</v>
      </c>
      <c r="BG917" s="8">
        <v>3.6</v>
      </c>
      <c r="BH917" s="8">
        <v>5.5</v>
      </c>
      <c r="BI917" s="8">
        <v>8.8000000000000007</v>
      </c>
      <c r="BJ917" s="8">
        <v>12.6</v>
      </c>
      <c r="BK917" s="8">
        <v>12.5</v>
      </c>
      <c r="BL917" s="8">
        <v>8.6</v>
      </c>
      <c r="BM917" s="8">
        <v>4.8</v>
      </c>
      <c r="BN917" s="8">
        <v>2.8</v>
      </c>
      <c r="BO917" s="8">
        <v>1.9</v>
      </c>
      <c r="BP917" s="7">
        <v>5.6</v>
      </c>
    </row>
    <row r="918" spans="1:68" ht="14.25" customHeight="1">
      <c r="A918" s="12">
        <v>261</v>
      </c>
      <c r="B918" s="14">
        <v>41</v>
      </c>
      <c r="C918" s="13" t="s">
        <v>30</v>
      </c>
      <c r="D918" s="13" t="s">
        <v>844</v>
      </c>
      <c r="E918" s="13" t="s">
        <v>1231</v>
      </c>
      <c r="F918" s="11">
        <v>-16.5</v>
      </c>
      <c r="G918" s="11">
        <v>-15</v>
      </c>
      <c r="H918" s="11">
        <v>-9.6</v>
      </c>
      <c r="I918" s="11">
        <v>-1.3</v>
      </c>
      <c r="J918" s="11">
        <v>4.5999999999999996</v>
      </c>
      <c r="K918" s="11">
        <v>11.8</v>
      </c>
      <c r="L918" s="11">
        <v>15.2</v>
      </c>
      <c r="M918" s="11">
        <v>12.7</v>
      </c>
      <c r="N918" s="11">
        <v>6.6</v>
      </c>
      <c r="O918" s="11">
        <v>-0.3</v>
      </c>
      <c r="P918" s="11">
        <v>-6.8</v>
      </c>
      <c r="Q918" s="11">
        <v>-12.9</v>
      </c>
      <c r="R918" s="10">
        <v>-1</v>
      </c>
      <c r="S918" s="12">
        <v>41</v>
      </c>
      <c r="T918" s="8" t="s">
        <v>1233</v>
      </c>
      <c r="U918" s="11">
        <v>-49</v>
      </c>
      <c r="V918" s="11">
        <v>-47</v>
      </c>
      <c r="W918" s="11">
        <v>-41</v>
      </c>
      <c r="X918" s="11">
        <v>-40</v>
      </c>
      <c r="Y918" s="11">
        <v>-22</v>
      </c>
      <c r="Z918" s="11">
        <v>-52</v>
      </c>
      <c r="AA918" s="11">
        <v>9</v>
      </c>
      <c r="AB918" s="11">
        <v>190</v>
      </c>
      <c r="AC918" s="11">
        <v>-9.8000000000000007</v>
      </c>
      <c r="AD918" s="11">
        <v>264</v>
      </c>
      <c r="AE918" s="11">
        <v>-5.9</v>
      </c>
      <c r="AF918" s="11">
        <v>282</v>
      </c>
      <c r="AG918" s="11">
        <v>-5</v>
      </c>
      <c r="AH918" s="11">
        <v>84</v>
      </c>
      <c r="AI918" s="11">
        <v>82</v>
      </c>
      <c r="AJ918" s="11">
        <v>190</v>
      </c>
      <c r="AK918" s="11" t="s">
        <v>34</v>
      </c>
      <c r="AL918" s="11">
        <v>3.7</v>
      </c>
      <c r="AM918" s="10">
        <v>3</v>
      </c>
      <c r="AN918" s="9">
        <v>41</v>
      </c>
      <c r="AO918" s="8" t="s">
        <v>1232</v>
      </c>
      <c r="AP918" s="8">
        <v>1000</v>
      </c>
      <c r="AQ918" s="8">
        <v>19</v>
      </c>
      <c r="AR918" s="8">
        <v>23.3</v>
      </c>
      <c r="AS918" s="8">
        <v>21.4</v>
      </c>
      <c r="AT918" s="8">
        <v>36</v>
      </c>
      <c r="AU918" s="8">
        <v>12</v>
      </c>
      <c r="AV918" s="8">
        <v>70</v>
      </c>
      <c r="AW918" s="8">
        <v>55</v>
      </c>
      <c r="AX918" s="8">
        <v>423</v>
      </c>
      <c r="AY918" s="8">
        <v>80</v>
      </c>
      <c r="AZ918" s="8" t="s">
        <v>54</v>
      </c>
      <c r="BA918" s="7">
        <v>2.4</v>
      </c>
      <c r="BB918" s="9">
        <v>27</v>
      </c>
      <c r="BC918" s="8" t="s">
        <v>1231</v>
      </c>
      <c r="BD918" s="8">
        <v>1.9</v>
      </c>
      <c r="BE918" s="8">
        <v>2</v>
      </c>
      <c r="BF918" s="8">
        <v>2.8</v>
      </c>
      <c r="BG918" s="8">
        <v>4.0999999999999996</v>
      </c>
      <c r="BH918" s="8">
        <v>5.8</v>
      </c>
      <c r="BI918" s="8">
        <v>9.1999999999999993</v>
      </c>
      <c r="BJ918" s="8">
        <v>12.1</v>
      </c>
      <c r="BK918" s="8">
        <v>11.6</v>
      </c>
      <c r="BL918" s="8">
        <v>8.6</v>
      </c>
      <c r="BM918" s="8">
        <v>5.5</v>
      </c>
      <c r="BN918" s="8">
        <v>3.8</v>
      </c>
      <c r="BO918" s="8">
        <v>2.6</v>
      </c>
      <c r="BP918" s="7">
        <v>5.8</v>
      </c>
    </row>
    <row r="919" spans="1:68" ht="14.25" customHeight="1">
      <c r="A919" s="12">
        <v>262</v>
      </c>
      <c r="B919" s="14">
        <v>604</v>
      </c>
      <c r="C919" s="13" t="s">
        <v>117</v>
      </c>
      <c r="D919" s="13" t="s">
        <v>274</v>
      </c>
      <c r="E919" s="13" t="s">
        <v>1229</v>
      </c>
      <c r="F919" s="11">
        <v>-1.8</v>
      </c>
      <c r="G919" s="11">
        <v>1.6</v>
      </c>
      <c r="H919" s="11">
        <v>8.4</v>
      </c>
      <c r="I919" s="11">
        <v>16.399999999999999</v>
      </c>
      <c r="J919" s="11">
        <v>21.6</v>
      </c>
      <c r="K919" s="11">
        <v>25.6</v>
      </c>
      <c r="L919" s="11">
        <v>27.4</v>
      </c>
      <c r="M919" s="11">
        <v>25.5</v>
      </c>
      <c r="N919" s="11">
        <v>20.100000000000001</v>
      </c>
      <c r="O919" s="11">
        <v>13.1</v>
      </c>
      <c r="P919" s="11">
        <v>5.5</v>
      </c>
      <c r="Q919" s="11">
        <v>0.4</v>
      </c>
      <c r="R919" s="10">
        <v>13.7</v>
      </c>
      <c r="S919" s="12">
        <v>593</v>
      </c>
      <c r="T919" s="8" t="s">
        <v>1229</v>
      </c>
      <c r="U919" s="11">
        <v>-17</v>
      </c>
      <c r="V919" s="11">
        <v>-14</v>
      </c>
      <c r="W919" s="11">
        <v>-14</v>
      </c>
      <c r="X919" s="11" t="s">
        <v>64</v>
      </c>
      <c r="Y919" s="11">
        <v>-5</v>
      </c>
      <c r="Z919" s="11">
        <v>-24</v>
      </c>
      <c r="AA919" s="11">
        <v>7.6</v>
      </c>
      <c r="AB919" s="11">
        <v>51</v>
      </c>
      <c r="AC919" s="11" t="s">
        <v>45</v>
      </c>
      <c r="AD919" s="11">
        <v>131</v>
      </c>
      <c r="AE919" s="11">
        <v>1.8</v>
      </c>
      <c r="AF919" s="11" t="s">
        <v>114</v>
      </c>
      <c r="AG919" s="11" t="s">
        <v>44</v>
      </c>
      <c r="AH919" s="11" t="s">
        <v>49</v>
      </c>
      <c r="AI919" s="11" t="s">
        <v>49</v>
      </c>
      <c r="AJ919" s="11" t="s">
        <v>84</v>
      </c>
      <c r="AK919" s="11" t="s">
        <v>44</v>
      </c>
      <c r="AL919" s="11">
        <v>5.4</v>
      </c>
      <c r="AM919" s="10" t="s">
        <v>44</v>
      </c>
      <c r="AN919" s="9">
        <v>594</v>
      </c>
      <c r="AO919" s="8" t="s">
        <v>1230</v>
      </c>
      <c r="AP919" s="8">
        <v>970</v>
      </c>
      <c r="AQ919" s="8">
        <v>32.299999999999997</v>
      </c>
      <c r="AR919" s="8">
        <v>35.799999999999997</v>
      </c>
      <c r="AS919" s="8">
        <v>34.799999999999997</v>
      </c>
      <c r="AT919" s="8">
        <v>42</v>
      </c>
      <c r="AU919" s="8">
        <v>15.3</v>
      </c>
      <c r="AV919" s="8" t="s">
        <v>45</v>
      </c>
      <c r="AW919" s="8" t="s">
        <v>44</v>
      </c>
      <c r="AX919" s="8" t="s">
        <v>44</v>
      </c>
      <c r="AY919" s="8" t="s">
        <v>64</v>
      </c>
      <c r="AZ919" s="8" t="s">
        <v>114</v>
      </c>
      <c r="BA919" s="7">
        <v>0</v>
      </c>
      <c r="BB919" s="9"/>
      <c r="BC919" s="8" t="s">
        <v>1229</v>
      </c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7"/>
    </row>
    <row r="920" spans="1:68" ht="14.25" customHeight="1">
      <c r="A920" s="12">
        <v>263</v>
      </c>
      <c r="B920" s="14">
        <v>531</v>
      </c>
      <c r="C920" s="13" t="s">
        <v>121</v>
      </c>
      <c r="D920" s="13" t="s">
        <v>638</v>
      </c>
      <c r="E920" s="13" t="s">
        <v>1227</v>
      </c>
      <c r="F920" s="11">
        <v>-20.5</v>
      </c>
      <c r="G920" s="11">
        <v>-18.600000000000001</v>
      </c>
      <c r="H920" s="11">
        <v>-10.4</v>
      </c>
      <c r="I920" s="11">
        <v>3.7</v>
      </c>
      <c r="J920" s="11">
        <v>12.8</v>
      </c>
      <c r="K920" s="11">
        <v>18.3</v>
      </c>
      <c r="L920" s="11">
        <v>20.7</v>
      </c>
      <c r="M920" s="11">
        <v>18.600000000000001</v>
      </c>
      <c r="N920" s="11">
        <v>12.4</v>
      </c>
      <c r="O920" s="11">
        <v>3.2</v>
      </c>
      <c r="P920" s="11">
        <v>-8.6999999999999993</v>
      </c>
      <c r="Q920" s="11">
        <v>-17.600000000000001</v>
      </c>
      <c r="R920" s="10">
        <v>1.2</v>
      </c>
      <c r="S920" s="12">
        <v>531</v>
      </c>
      <c r="T920" s="8" t="s">
        <v>1227</v>
      </c>
      <c r="U920" s="11">
        <v>-45</v>
      </c>
      <c r="V920" s="11">
        <v>-43</v>
      </c>
      <c r="W920" s="11">
        <v>-41</v>
      </c>
      <c r="X920" s="11">
        <v>-38</v>
      </c>
      <c r="Y920" s="11" t="s">
        <v>49</v>
      </c>
      <c r="Z920" s="11">
        <v>-50</v>
      </c>
      <c r="AA920" s="11">
        <v>12.3</v>
      </c>
      <c r="AB920" s="11">
        <v>164</v>
      </c>
      <c r="AC920" s="11">
        <v>-14</v>
      </c>
      <c r="AD920" s="11">
        <v>209</v>
      </c>
      <c r="AE920" s="11">
        <v>-10</v>
      </c>
      <c r="AF920" s="11">
        <v>222</v>
      </c>
      <c r="AG920" s="11">
        <v>-8.9</v>
      </c>
      <c r="AH920" s="11">
        <v>77</v>
      </c>
      <c r="AI920" s="11" t="s">
        <v>49</v>
      </c>
      <c r="AJ920" s="11">
        <v>143</v>
      </c>
      <c r="AK920" s="11" t="s">
        <v>44</v>
      </c>
      <c r="AL920" s="11" t="s">
        <v>44</v>
      </c>
      <c r="AM920" s="10" t="s">
        <v>44</v>
      </c>
      <c r="AN920" s="9">
        <v>531</v>
      </c>
      <c r="AO920" s="8" t="s">
        <v>1228</v>
      </c>
      <c r="AP920" s="8" t="s">
        <v>64</v>
      </c>
      <c r="AQ920" s="8" t="s">
        <v>45</v>
      </c>
      <c r="AR920" s="8" t="s">
        <v>44</v>
      </c>
      <c r="AS920" s="8">
        <v>28</v>
      </c>
      <c r="AT920" s="8">
        <v>42</v>
      </c>
      <c r="AU920" s="8">
        <v>15.4</v>
      </c>
      <c r="AV920" s="8">
        <v>56</v>
      </c>
      <c r="AW920" s="8" t="s">
        <v>44</v>
      </c>
      <c r="AX920" s="8">
        <v>187</v>
      </c>
      <c r="AY920" s="8" t="s">
        <v>64</v>
      </c>
      <c r="AZ920" s="8" t="s">
        <v>114</v>
      </c>
      <c r="BA920" s="7" t="s">
        <v>46</v>
      </c>
      <c r="BB920" s="9"/>
      <c r="BC920" s="8" t="s">
        <v>1227</v>
      </c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7"/>
    </row>
    <row r="921" spans="1:68" ht="14.25" customHeight="1">
      <c r="A921" s="12">
        <v>264</v>
      </c>
      <c r="B921" s="14">
        <v>523</v>
      </c>
      <c r="C921" s="13" t="s">
        <v>121</v>
      </c>
      <c r="D921" s="13" t="s">
        <v>1226</v>
      </c>
      <c r="E921" s="13" t="s">
        <v>1224</v>
      </c>
      <c r="F921" s="11">
        <v>-15.8</v>
      </c>
      <c r="G921" s="11">
        <v>-15.3</v>
      </c>
      <c r="H921" s="11">
        <v>-9.1999999999999993</v>
      </c>
      <c r="I921" s="11">
        <v>3.3</v>
      </c>
      <c r="J921" s="11">
        <v>12.1</v>
      </c>
      <c r="K921" s="11">
        <v>17.8</v>
      </c>
      <c r="L921" s="11">
        <v>19.8</v>
      </c>
      <c r="M921" s="11">
        <v>17.100000000000001</v>
      </c>
      <c r="N921" s="11">
        <v>11.5</v>
      </c>
      <c r="O921" s="11">
        <v>2.8</v>
      </c>
      <c r="P921" s="11">
        <v>-6.7</v>
      </c>
      <c r="Q921" s="11">
        <v>-13.4</v>
      </c>
      <c r="R921" s="10">
        <v>2</v>
      </c>
      <c r="S921" s="12">
        <v>523</v>
      </c>
      <c r="T921" s="8" t="s">
        <v>1224</v>
      </c>
      <c r="U921" s="11">
        <v>-39</v>
      </c>
      <c r="V921" s="11">
        <v>-36</v>
      </c>
      <c r="W921" s="11">
        <v>-37</v>
      </c>
      <c r="X921" s="11">
        <v>-33</v>
      </c>
      <c r="Y921" s="11" t="s">
        <v>49</v>
      </c>
      <c r="Z921" s="11">
        <v>-46</v>
      </c>
      <c r="AA921" s="11">
        <v>8.5</v>
      </c>
      <c r="AB921" s="11">
        <v>167</v>
      </c>
      <c r="AC921" s="11">
        <v>-11</v>
      </c>
      <c r="AD921" s="11">
        <v>215</v>
      </c>
      <c r="AE921" s="11">
        <v>-7.5</v>
      </c>
      <c r="AF921" s="11">
        <v>228</v>
      </c>
      <c r="AG921" s="11">
        <v>-6.5</v>
      </c>
      <c r="AH921" s="11" t="s">
        <v>49</v>
      </c>
      <c r="AI921" s="11" t="s">
        <v>49</v>
      </c>
      <c r="AJ921" s="11">
        <v>60</v>
      </c>
      <c r="AK921" s="11" t="s">
        <v>39</v>
      </c>
      <c r="AL921" s="11">
        <v>7.9</v>
      </c>
      <c r="AM921" s="10">
        <v>5.9</v>
      </c>
      <c r="AN921" s="9">
        <v>523</v>
      </c>
      <c r="AO921" s="8" t="s">
        <v>1225</v>
      </c>
      <c r="AP921" s="8" t="s">
        <v>64</v>
      </c>
      <c r="AQ921" s="8" t="s">
        <v>45</v>
      </c>
      <c r="AR921" s="8" t="s">
        <v>44</v>
      </c>
      <c r="AS921" s="8">
        <v>25.8</v>
      </c>
      <c r="AT921" s="8">
        <v>38</v>
      </c>
      <c r="AU921" s="8">
        <v>14.4</v>
      </c>
      <c r="AV921" s="8" t="s">
        <v>45</v>
      </c>
      <c r="AW921" s="8" t="s">
        <v>44</v>
      </c>
      <c r="AX921" s="8">
        <v>250</v>
      </c>
      <c r="AY921" s="8" t="s">
        <v>64</v>
      </c>
      <c r="AZ921" s="8" t="s">
        <v>43</v>
      </c>
      <c r="BA921" s="7">
        <v>4.5</v>
      </c>
      <c r="BB921" s="9"/>
      <c r="BC921" s="8" t="s">
        <v>1224</v>
      </c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7"/>
    </row>
    <row r="922" spans="1:68" ht="14.25" customHeight="1">
      <c r="A922" s="12">
        <v>265</v>
      </c>
      <c r="B922" s="14">
        <v>318</v>
      </c>
      <c r="C922" s="13" t="s">
        <v>30</v>
      </c>
      <c r="D922" s="13" t="s">
        <v>307</v>
      </c>
      <c r="E922" s="13" t="s">
        <v>1221</v>
      </c>
      <c r="F922" s="11">
        <v>-20.7</v>
      </c>
      <c r="G922" s="11">
        <v>-18.7</v>
      </c>
      <c r="H922" s="11">
        <v>-10.8</v>
      </c>
      <c r="I922" s="11">
        <v>-0.7</v>
      </c>
      <c r="J922" s="11">
        <v>7.3</v>
      </c>
      <c r="K922" s="11">
        <v>15.2</v>
      </c>
      <c r="L922" s="11">
        <v>18</v>
      </c>
      <c r="M922" s="11">
        <v>14.4</v>
      </c>
      <c r="N922" s="11">
        <v>8.6999999999999993</v>
      </c>
      <c r="O922" s="11">
        <v>0.1</v>
      </c>
      <c r="P922" s="11">
        <v>-11.4</v>
      </c>
      <c r="Q922" s="11">
        <v>-19.399999999999999</v>
      </c>
      <c r="R922" s="10">
        <v>-1.5</v>
      </c>
      <c r="S922" s="12">
        <v>318</v>
      </c>
      <c r="T922" s="8" t="s">
        <v>1223</v>
      </c>
      <c r="U922" s="11">
        <v>-47</v>
      </c>
      <c r="V922" s="11">
        <v>-45</v>
      </c>
      <c r="W922" s="11">
        <v>-44</v>
      </c>
      <c r="X922" s="11">
        <v>-42</v>
      </c>
      <c r="Y922" s="11">
        <v>-26</v>
      </c>
      <c r="Z922" s="11">
        <v>-51</v>
      </c>
      <c r="AA922" s="11">
        <v>8.6999999999999993</v>
      </c>
      <c r="AB922" s="11">
        <v>184</v>
      </c>
      <c r="AC922" s="11">
        <v>-13.4</v>
      </c>
      <c r="AD922" s="11">
        <v>243</v>
      </c>
      <c r="AE922" s="11">
        <v>-9.1</v>
      </c>
      <c r="AF922" s="11">
        <v>260</v>
      </c>
      <c r="AG922" s="11">
        <v>-7.9</v>
      </c>
      <c r="AH922" s="11">
        <v>80</v>
      </c>
      <c r="AI922" s="11">
        <v>79</v>
      </c>
      <c r="AJ922" s="11">
        <v>119</v>
      </c>
      <c r="AK922" s="11" t="s">
        <v>34</v>
      </c>
      <c r="AL922" s="11">
        <v>4.8</v>
      </c>
      <c r="AM922" s="10" t="s">
        <v>44</v>
      </c>
      <c r="AN922" s="9">
        <v>318</v>
      </c>
      <c r="AO922" s="8" t="s">
        <v>1222</v>
      </c>
      <c r="AP922" s="8">
        <v>1000</v>
      </c>
      <c r="AQ922" s="8">
        <v>21.5</v>
      </c>
      <c r="AR922" s="8">
        <v>25.3</v>
      </c>
      <c r="AS922" s="8">
        <v>23.6</v>
      </c>
      <c r="AT922" s="8">
        <v>35</v>
      </c>
      <c r="AU922" s="8">
        <v>11.1</v>
      </c>
      <c r="AV922" s="8">
        <v>72</v>
      </c>
      <c r="AW922" s="8">
        <v>58</v>
      </c>
      <c r="AX922" s="8">
        <v>392</v>
      </c>
      <c r="AY922" s="8">
        <v>64</v>
      </c>
      <c r="AZ922" s="8" t="s">
        <v>54</v>
      </c>
      <c r="BA922" s="7">
        <v>0</v>
      </c>
      <c r="BB922" s="9">
        <v>286</v>
      </c>
      <c r="BC922" s="8" t="s">
        <v>1221</v>
      </c>
      <c r="BD922" s="8">
        <v>1.3</v>
      </c>
      <c r="BE922" s="8">
        <v>1.4</v>
      </c>
      <c r="BF922" s="8">
        <v>2.2999999999999998</v>
      </c>
      <c r="BG922" s="8">
        <v>4.0999999999999996</v>
      </c>
      <c r="BH922" s="8">
        <v>6.5</v>
      </c>
      <c r="BI922" s="8">
        <v>11.4</v>
      </c>
      <c r="BJ922" s="8">
        <v>14.9</v>
      </c>
      <c r="BK922" s="8">
        <v>13</v>
      </c>
      <c r="BL922" s="8">
        <v>8.9</v>
      </c>
      <c r="BM922" s="8">
        <v>5</v>
      </c>
      <c r="BN922" s="8">
        <v>2.6</v>
      </c>
      <c r="BO922" s="8">
        <v>1.5</v>
      </c>
      <c r="BP922" s="7">
        <v>6.1</v>
      </c>
    </row>
    <row r="923" spans="1:68" ht="14.25" customHeight="1">
      <c r="A923" s="12">
        <v>266</v>
      </c>
      <c r="B923" s="14">
        <v>611</v>
      </c>
      <c r="C923" s="13" t="s">
        <v>52</v>
      </c>
      <c r="D923" s="13" t="s">
        <v>1158</v>
      </c>
      <c r="E923" s="13" t="s">
        <v>1219</v>
      </c>
      <c r="F923" s="11">
        <v>-5.6</v>
      </c>
      <c r="G923" s="11">
        <v>-4.2</v>
      </c>
      <c r="H923" s="11">
        <v>0.7</v>
      </c>
      <c r="I923" s="11">
        <v>9.1</v>
      </c>
      <c r="J923" s="11">
        <v>15.5</v>
      </c>
      <c r="K923" s="11">
        <v>18.899999999999999</v>
      </c>
      <c r="L923" s="11">
        <v>20.5</v>
      </c>
      <c r="M923" s="11">
        <v>19.8</v>
      </c>
      <c r="N923" s="11">
        <v>14.7</v>
      </c>
      <c r="O923" s="11">
        <v>8</v>
      </c>
      <c r="P923" s="11">
        <v>2.4</v>
      </c>
      <c r="Q923" s="11">
        <v>-2.1</v>
      </c>
      <c r="R923" s="10">
        <v>8.1</v>
      </c>
      <c r="S923" s="12">
        <v>600</v>
      </c>
      <c r="T923" s="8" t="s">
        <v>1219</v>
      </c>
      <c r="U923" s="11">
        <v>-27</v>
      </c>
      <c r="V923" s="11">
        <v>-25</v>
      </c>
      <c r="W923" s="11">
        <v>-22</v>
      </c>
      <c r="X923" s="11">
        <v>-20</v>
      </c>
      <c r="Y923" s="11">
        <v>-8</v>
      </c>
      <c r="Z923" s="11">
        <v>-34</v>
      </c>
      <c r="AA923" s="11" t="s">
        <v>49</v>
      </c>
      <c r="AB923" s="11">
        <v>100</v>
      </c>
      <c r="AC923" s="11">
        <v>-3.7</v>
      </c>
      <c r="AD923" s="11">
        <v>175</v>
      </c>
      <c r="AE923" s="11">
        <v>-0.6</v>
      </c>
      <c r="AF923" s="11">
        <v>191</v>
      </c>
      <c r="AG923" s="11">
        <v>0.2</v>
      </c>
      <c r="AH923" s="11" t="s">
        <v>49</v>
      </c>
      <c r="AI923" s="11" t="s">
        <v>49</v>
      </c>
      <c r="AJ923" s="11">
        <v>180</v>
      </c>
      <c r="AK923" s="11" t="s">
        <v>199</v>
      </c>
      <c r="AL923" s="11" t="s">
        <v>44</v>
      </c>
      <c r="AM923" s="10" t="s">
        <v>44</v>
      </c>
      <c r="AN923" s="9">
        <v>601</v>
      </c>
      <c r="AO923" s="8" t="s">
        <v>1220</v>
      </c>
      <c r="AP923" s="8">
        <v>1005</v>
      </c>
      <c r="AQ923" s="8">
        <v>30</v>
      </c>
      <c r="AR923" s="8">
        <v>26</v>
      </c>
      <c r="AS923" s="8">
        <v>26.5</v>
      </c>
      <c r="AT923" s="8">
        <v>39</v>
      </c>
      <c r="AU923" s="8" t="s">
        <v>46</v>
      </c>
      <c r="AV923" s="8" t="s">
        <v>45</v>
      </c>
      <c r="AW923" s="8" t="s">
        <v>44</v>
      </c>
      <c r="AX923" s="8" t="s">
        <v>44</v>
      </c>
      <c r="AY923" s="8">
        <v>91</v>
      </c>
      <c r="AZ923" s="8" t="s">
        <v>32</v>
      </c>
      <c r="BA923" s="7">
        <v>1.8</v>
      </c>
      <c r="BB923" s="9"/>
      <c r="BC923" s="8" t="s">
        <v>1219</v>
      </c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7"/>
    </row>
    <row r="924" spans="1:68" ht="14.25" customHeight="1">
      <c r="A924" s="12">
        <v>267</v>
      </c>
      <c r="B924" s="14">
        <v>356</v>
      </c>
      <c r="C924" s="13" t="s">
        <v>30</v>
      </c>
      <c r="D924" s="13" t="s">
        <v>86</v>
      </c>
      <c r="E924" s="13" t="s">
        <v>1216</v>
      </c>
      <c r="F924" s="11">
        <v>-25.6</v>
      </c>
      <c r="G924" s="11">
        <v>-20.3</v>
      </c>
      <c r="H924" s="11">
        <v>-10.1</v>
      </c>
      <c r="I924" s="11">
        <v>1.3</v>
      </c>
      <c r="J924" s="11">
        <v>8.6999999999999993</v>
      </c>
      <c r="K924" s="11">
        <v>15.6</v>
      </c>
      <c r="L924" s="11">
        <v>19.899999999999999</v>
      </c>
      <c r="M924" s="11">
        <v>18.7</v>
      </c>
      <c r="N924" s="11">
        <v>12.6</v>
      </c>
      <c r="O924" s="11">
        <v>3</v>
      </c>
      <c r="P924" s="11">
        <v>-10.7</v>
      </c>
      <c r="Q924" s="11">
        <v>-22</v>
      </c>
      <c r="R924" s="10">
        <v>-0.7</v>
      </c>
      <c r="S924" s="12">
        <v>356</v>
      </c>
      <c r="T924" s="8" t="s">
        <v>1218</v>
      </c>
      <c r="U924" s="11">
        <v>-38</v>
      </c>
      <c r="V924" s="11">
        <v>-37</v>
      </c>
      <c r="W924" s="11">
        <v>-37</v>
      </c>
      <c r="X924" s="11">
        <v>-35</v>
      </c>
      <c r="Y924" s="11">
        <v>-31</v>
      </c>
      <c r="Z924" s="11">
        <v>-45</v>
      </c>
      <c r="AA924" s="11">
        <v>9.9</v>
      </c>
      <c r="AB924" s="11">
        <v>171</v>
      </c>
      <c r="AC924" s="11">
        <v>-15.4</v>
      </c>
      <c r="AD924" s="11">
        <v>223</v>
      </c>
      <c r="AE924" s="11">
        <v>-10.8</v>
      </c>
      <c r="AF924" s="11">
        <v>238</v>
      </c>
      <c r="AG924" s="11">
        <v>-9.5</v>
      </c>
      <c r="AH924" s="11">
        <v>79</v>
      </c>
      <c r="AI924" s="11">
        <v>77</v>
      </c>
      <c r="AJ924" s="11">
        <v>93</v>
      </c>
      <c r="AK924" s="11" t="s">
        <v>34</v>
      </c>
      <c r="AL924" s="11">
        <v>5.7</v>
      </c>
      <c r="AM924" s="10">
        <v>3.9</v>
      </c>
      <c r="AN924" s="9">
        <v>356</v>
      </c>
      <c r="AO924" s="8" t="s">
        <v>1217</v>
      </c>
      <c r="AP924" s="8">
        <v>1005</v>
      </c>
      <c r="AQ924" s="8">
        <v>22.8</v>
      </c>
      <c r="AR924" s="8">
        <v>26.9</v>
      </c>
      <c r="AS924" s="8">
        <v>25.2</v>
      </c>
      <c r="AT924" s="8">
        <v>35</v>
      </c>
      <c r="AU924" s="8">
        <v>9.9</v>
      </c>
      <c r="AV924" s="8">
        <v>78</v>
      </c>
      <c r="AW924" s="8">
        <v>67</v>
      </c>
      <c r="AX924" s="8">
        <v>484</v>
      </c>
      <c r="AY924" s="8">
        <v>95</v>
      </c>
      <c r="AZ924" s="8" t="s">
        <v>151</v>
      </c>
      <c r="BA924" s="7">
        <v>0</v>
      </c>
      <c r="BB924" s="9">
        <v>321</v>
      </c>
      <c r="BC924" s="8" t="s">
        <v>1216</v>
      </c>
      <c r="BD924" s="8">
        <v>0.7</v>
      </c>
      <c r="BE924" s="8">
        <v>1</v>
      </c>
      <c r="BF924" s="8">
        <v>2.2000000000000002</v>
      </c>
      <c r="BG924" s="8">
        <v>4.5999999999999996</v>
      </c>
      <c r="BH924" s="8">
        <v>7.7</v>
      </c>
      <c r="BI924" s="8">
        <v>13.3</v>
      </c>
      <c r="BJ924" s="8">
        <v>18.2</v>
      </c>
      <c r="BK924" s="8">
        <v>17.3</v>
      </c>
      <c r="BL924" s="8">
        <v>11.5</v>
      </c>
      <c r="BM924" s="8">
        <v>5.7</v>
      </c>
      <c r="BN924" s="8">
        <v>2.2999999999999998</v>
      </c>
      <c r="BO924" s="8">
        <v>1</v>
      </c>
      <c r="BP924" s="7">
        <v>7.1</v>
      </c>
    </row>
    <row r="925" spans="1:68" ht="14.25" customHeight="1">
      <c r="A925" s="12">
        <v>268</v>
      </c>
      <c r="B925" s="14">
        <v>326</v>
      </c>
      <c r="C925" s="13" t="s">
        <v>30</v>
      </c>
      <c r="D925" s="13" t="s">
        <v>259</v>
      </c>
      <c r="E925" s="13" t="s">
        <v>1213</v>
      </c>
      <c r="F925" s="11">
        <v>-19.8</v>
      </c>
      <c r="G925" s="11">
        <v>-18.399999999999999</v>
      </c>
      <c r="H925" s="11">
        <v>-10.1</v>
      </c>
      <c r="I925" s="11">
        <v>0.1</v>
      </c>
      <c r="J925" s="11">
        <v>8.4</v>
      </c>
      <c r="K925" s="11">
        <v>14.9</v>
      </c>
      <c r="L925" s="11">
        <v>18.7</v>
      </c>
      <c r="M925" s="11">
        <v>14.7</v>
      </c>
      <c r="N925" s="11">
        <v>8.9</v>
      </c>
      <c r="O925" s="11">
        <v>-0.6</v>
      </c>
      <c r="P925" s="11">
        <v>-10.199999999999999</v>
      </c>
      <c r="Q925" s="11">
        <v>-16.3</v>
      </c>
      <c r="R925" s="10">
        <v>-0.8</v>
      </c>
      <c r="S925" s="12">
        <v>326</v>
      </c>
      <c r="T925" s="8" t="s">
        <v>1215</v>
      </c>
      <c r="U925" s="11">
        <v>-47</v>
      </c>
      <c r="V925" s="11">
        <v>-44</v>
      </c>
      <c r="W925" s="11">
        <v>-44</v>
      </c>
      <c r="X925" s="11">
        <v>-40</v>
      </c>
      <c r="Y925" s="11">
        <v>-25</v>
      </c>
      <c r="Z925" s="11">
        <v>-49</v>
      </c>
      <c r="AA925" s="11">
        <v>8.9</v>
      </c>
      <c r="AB925" s="11">
        <v>183</v>
      </c>
      <c r="AC925" s="11">
        <v>-12.3</v>
      </c>
      <c r="AD925" s="11">
        <v>238</v>
      </c>
      <c r="AE925" s="11">
        <v>-8.6</v>
      </c>
      <c r="AF925" s="11">
        <v>256</v>
      </c>
      <c r="AG925" s="11">
        <v>-7.4</v>
      </c>
      <c r="AH925" s="11">
        <v>84</v>
      </c>
      <c r="AI925" s="11">
        <v>84</v>
      </c>
      <c r="AJ925" s="11">
        <v>107</v>
      </c>
      <c r="AK925" s="11" t="s">
        <v>34</v>
      </c>
      <c r="AL925" s="11">
        <v>4.7</v>
      </c>
      <c r="AM925" s="10">
        <v>3.8</v>
      </c>
      <c r="AN925" s="9">
        <v>326</v>
      </c>
      <c r="AO925" s="8" t="s">
        <v>1214</v>
      </c>
      <c r="AP925" s="8">
        <v>1005</v>
      </c>
      <c r="AQ925" s="8">
        <v>21.6</v>
      </c>
      <c r="AR925" s="8">
        <v>25.8</v>
      </c>
      <c r="AS925" s="8">
        <v>24</v>
      </c>
      <c r="AT925" s="8">
        <v>36</v>
      </c>
      <c r="AU925" s="8">
        <v>10.3</v>
      </c>
      <c r="AV925" s="8">
        <v>69</v>
      </c>
      <c r="AW925" s="8">
        <v>54</v>
      </c>
      <c r="AX925" s="8">
        <v>359</v>
      </c>
      <c r="AY925" s="8" t="s">
        <v>64</v>
      </c>
      <c r="AZ925" s="8" t="s">
        <v>54</v>
      </c>
      <c r="BA925" s="7">
        <v>4</v>
      </c>
      <c r="BB925" s="9">
        <v>294</v>
      </c>
      <c r="BC925" s="8" t="s">
        <v>1213</v>
      </c>
      <c r="BD925" s="8">
        <v>1.4</v>
      </c>
      <c r="BE925" s="8">
        <v>1.5</v>
      </c>
      <c r="BF925" s="8">
        <v>2.6</v>
      </c>
      <c r="BG925" s="8">
        <v>4.5</v>
      </c>
      <c r="BH925" s="8">
        <v>7.1</v>
      </c>
      <c r="BI925" s="8">
        <v>10.7</v>
      </c>
      <c r="BJ925" s="8">
        <v>14.5</v>
      </c>
      <c r="BK925" s="8">
        <v>12.7</v>
      </c>
      <c r="BL925" s="8">
        <v>9.1999999999999993</v>
      </c>
      <c r="BM925" s="8">
        <v>5.2</v>
      </c>
      <c r="BN925" s="8">
        <v>3.1</v>
      </c>
      <c r="BO925" s="8">
        <v>1.9</v>
      </c>
      <c r="BP925" s="7">
        <v>6.2</v>
      </c>
    </row>
    <row r="926" spans="1:68" ht="14.25" customHeight="1">
      <c r="A926" s="12">
        <v>269</v>
      </c>
      <c r="B926" s="14">
        <v>141</v>
      </c>
      <c r="C926" s="13" t="s">
        <v>30</v>
      </c>
      <c r="D926" s="13" t="s">
        <v>325</v>
      </c>
      <c r="E926" s="13" t="s">
        <v>1210</v>
      </c>
      <c r="F926" s="11">
        <v>-19.100000000000001</v>
      </c>
      <c r="G926" s="11">
        <v>-16.3</v>
      </c>
      <c r="H926" s="11">
        <v>-8.6</v>
      </c>
      <c r="I926" s="11">
        <v>0.9</v>
      </c>
      <c r="J926" s="11">
        <v>9.1</v>
      </c>
      <c r="K926" s="11">
        <v>15.2</v>
      </c>
      <c r="L926" s="11">
        <v>17.399999999999999</v>
      </c>
      <c r="M926" s="11">
        <v>14.5</v>
      </c>
      <c r="N926" s="11">
        <v>8.6</v>
      </c>
      <c r="O926" s="11">
        <v>1.4</v>
      </c>
      <c r="P926" s="11">
        <v>-9.4</v>
      </c>
      <c r="Q926" s="11">
        <v>-17</v>
      </c>
      <c r="R926" s="10">
        <v>-0.3</v>
      </c>
      <c r="S926" s="12">
        <v>141</v>
      </c>
      <c r="T926" s="8" t="s">
        <v>1212</v>
      </c>
      <c r="U926" s="11">
        <v>-46</v>
      </c>
      <c r="V926" s="11">
        <v>-44</v>
      </c>
      <c r="W926" s="11">
        <v>-43</v>
      </c>
      <c r="X926" s="11">
        <v>-40</v>
      </c>
      <c r="Y926" s="11">
        <v>-24</v>
      </c>
      <c r="Z926" s="11">
        <v>-52</v>
      </c>
      <c r="AA926" s="11">
        <v>13.6</v>
      </c>
      <c r="AB926" s="11">
        <v>175</v>
      </c>
      <c r="AC926" s="11">
        <v>-12</v>
      </c>
      <c r="AD926" s="11">
        <v>236</v>
      </c>
      <c r="AE926" s="11">
        <v>-7.8</v>
      </c>
      <c r="AF926" s="11">
        <v>254</v>
      </c>
      <c r="AG926" s="11">
        <v>-6.6</v>
      </c>
      <c r="AH926" s="11">
        <v>82</v>
      </c>
      <c r="AI926" s="11">
        <v>74</v>
      </c>
      <c r="AJ926" s="11">
        <v>315</v>
      </c>
      <c r="AK926" s="11" t="s">
        <v>39</v>
      </c>
      <c r="AL926" s="11">
        <v>3.6</v>
      </c>
      <c r="AM926" s="10">
        <v>1.5</v>
      </c>
      <c r="AN926" s="9">
        <v>141</v>
      </c>
      <c r="AO926" s="8" t="s">
        <v>1211</v>
      </c>
      <c r="AP926" s="8">
        <v>970</v>
      </c>
      <c r="AQ926" s="8">
        <v>22.3</v>
      </c>
      <c r="AR926" s="8">
        <v>26.5</v>
      </c>
      <c r="AS926" s="8">
        <v>24.7</v>
      </c>
      <c r="AT926" s="8">
        <v>38</v>
      </c>
      <c r="AU926" s="8">
        <v>14.4</v>
      </c>
      <c r="AV926" s="8">
        <v>79</v>
      </c>
      <c r="AW926" s="8">
        <v>59</v>
      </c>
      <c r="AX926" s="8">
        <v>636</v>
      </c>
      <c r="AY926" s="8">
        <v>72</v>
      </c>
      <c r="AZ926" s="8" t="s">
        <v>151</v>
      </c>
      <c r="BA926" s="7">
        <v>0</v>
      </c>
      <c r="BB926" s="9">
        <v>124</v>
      </c>
      <c r="BC926" s="8" t="s">
        <v>1210</v>
      </c>
      <c r="BD926" s="8">
        <v>1.4</v>
      </c>
      <c r="BE926" s="8">
        <v>1.7</v>
      </c>
      <c r="BF926" s="8">
        <v>2.6</v>
      </c>
      <c r="BG926" s="8">
        <v>4.7</v>
      </c>
      <c r="BH926" s="8">
        <v>7.7</v>
      </c>
      <c r="BI926" s="8">
        <v>12.7</v>
      </c>
      <c r="BJ926" s="8">
        <v>15.3</v>
      </c>
      <c r="BK926" s="8">
        <v>13.4</v>
      </c>
      <c r="BL926" s="8">
        <v>9</v>
      </c>
      <c r="BM926" s="8">
        <v>5.4</v>
      </c>
      <c r="BN926" s="8">
        <v>2.9</v>
      </c>
      <c r="BO926" s="8">
        <v>1.8</v>
      </c>
      <c r="BP926" s="7">
        <v>6.6</v>
      </c>
    </row>
    <row r="927" spans="1:68" ht="14.25" customHeight="1">
      <c r="A927" s="12">
        <v>270</v>
      </c>
      <c r="B927" s="14">
        <v>290</v>
      </c>
      <c r="C927" s="13" t="s">
        <v>30</v>
      </c>
      <c r="D927" s="13" t="s">
        <v>72</v>
      </c>
      <c r="E927" s="13" t="s">
        <v>1207</v>
      </c>
      <c r="F927" s="11">
        <v>-10.7</v>
      </c>
      <c r="G927" s="11">
        <v>-10.1</v>
      </c>
      <c r="H927" s="11">
        <v>-5.3</v>
      </c>
      <c r="I927" s="11">
        <v>1.2</v>
      </c>
      <c r="J927" s="11">
        <v>5.6</v>
      </c>
      <c r="K927" s="11">
        <v>10</v>
      </c>
      <c r="L927" s="11">
        <v>14.5</v>
      </c>
      <c r="M927" s="11">
        <v>16.899999999999999</v>
      </c>
      <c r="N927" s="11">
        <v>13.7</v>
      </c>
      <c r="O927" s="11">
        <v>7.4</v>
      </c>
      <c r="P927" s="11">
        <v>-0.4</v>
      </c>
      <c r="Q927" s="11">
        <v>-6.8</v>
      </c>
      <c r="R927" s="10">
        <v>3</v>
      </c>
      <c r="S927" s="12">
        <v>290</v>
      </c>
      <c r="T927" s="8" t="s">
        <v>1209</v>
      </c>
      <c r="U927" s="11">
        <v>-25</v>
      </c>
      <c r="V927" s="11">
        <v>-23</v>
      </c>
      <c r="W927" s="11">
        <v>-23</v>
      </c>
      <c r="X927" s="11">
        <v>-20</v>
      </c>
      <c r="Y927" s="11">
        <v>-16</v>
      </c>
      <c r="Z927" s="11">
        <v>-33</v>
      </c>
      <c r="AA927" s="11">
        <v>8</v>
      </c>
      <c r="AB927" s="11">
        <v>147</v>
      </c>
      <c r="AC927" s="11">
        <v>-6.7</v>
      </c>
      <c r="AD927" s="11">
        <v>232</v>
      </c>
      <c r="AE927" s="11">
        <v>-2.7</v>
      </c>
      <c r="AF927" s="11">
        <v>255</v>
      </c>
      <c r="AG927" s="11">
        <v>-1.9</v>
      </c>
      <c r="AH927" s="11">
        <v>76</v>
      </c>
      <c r="AI927" s="11">
        <v>66</v>
      </c>
      <c r="AJ927" s="11">
        <v>223</v>
      </c>
      <c r="AK927" s="11" t="s">
        <v>56</v>
      </c>
      <c r="AL927" s="11">
        <v>5.6</v>
      </c>
      <c r="AM927" s="10">
        <v>4.7</v>
      </c>
      <c r="AN927" s="9">
        <v>284</v>
      </c>
      <c r="AO927" s="8" t="s">
        <v>1208</v>
      </c>
      <c r="AP927" s="8">
        <v>1010</v>
      </c>
      <c r="AQ927" s="8">
        <v>18.399999999999999</v>
      </c>
      <c r="AR927" s="8">
        <v>22.8</v>
      </c>
      <c r="AS927" s="8">
        <v>20.8</v>
      </c>
      <c r="AT927" s="8">
        <v>30</v>
      </c>
      <c r="AU927" s="8">
        <v>7.2</v>
      </c>
      <c r="AV927" s="8">
        <v>88</v>
      </c>
      <c r="AW927" s="8">
        <v>80</v>
      </c>
      <c r="AX927" s="8">
        <v>546</v>
      </c>
      <c r="AY927" s="8">
        <v>86</v>
      </c>
      <c r="AZ927" s="8" t="s">
        <v>37</v>
      </c>
      <c r="BA927" s="7">
        <v>0</v>
      </c>
      <c r="BB927" s="9">
        <v>255</v>
      </c>
      <c r="BC927" s="8" t="s">
        <v>1207</v>
      </c>
      <c r="BD927" s="8">
        <v>2.1</v>
      </c>
      <c r="BE927" s="8">
        <v>2.2000000000000002</v>
      </c>
      <c r="BF927" s="8">
        <v>3.3</v>
      </c>
      <c r="BG927" s="8">
        <v>5.4</v>
      </c>
      <c r="BH927" s="8">
        <v>7.5</v>
      </c>
      <c r="BI927" s="8">
        <v>10.7</v>
      </c>
      <c r="BJ927" s="8">
        <v>15.1</v>
      </c>
      <c r="BK927" s="8">
        <v>16.8</v>
      </c>
      <c r="BL927" s="8">
        <v>13.2</v>
      </c>
      <c r="BM927" s="8">
        <v>8.1999999999999993</v>
      </c>
      <c r="BN927" s="8">
        <v>4.7</v>
      </c>
      <c r="BO927" s="8">
        <v>3.1</v>
      </c>
      <c r="BP927" s="7">
        <v>7.7</v>
      </c>
    </row>
    <row r="928" spans="1:68" ht="14.25" customHeight="1">
      <c r="A928" s="12">
        <v>271</v>
      </c>
      <c r="B928" s="14">
        <v>116</v>
      </c>
      <c r="C928" s="13" t="s">
        <v>30</v>
      </c>
      <c r="D928" s="13" t="s">
        <v>293</v>
      </c>
      <c r="E928" s="13" t="s">
        <v>1204</v>
      </c>
      <c r="F928" s="11">
        <v>-13.6</v>
      </c>
      <c r="G928" s="11">
        <v>-16.100000000000001</v>
      </c>
      <c r="H928" s="11">
        <v>-12.7</v>
      </c>
      <c r="I928" s="11">
        <v>-6.5</v>
      </c>
      <c r="J928" s="11">
        <v>0.5</v>
      </c>
      <c r="K928" s="11">
        <v>7.4</v>
      </c>
      <c r="L928" s="11">
        <v>12.1</v>
      </c>
      <c r="M928" s="11">
        <v>12</v>
      </c>
      <c r="N928" s="11">
        <v>7.4</v>
      </c>
      <c r="O928" s="11">
        <v>-2</v>
      </c>
      <c r="P928" s="11">
        <v>-9.5</v>
      </c>
      <c r="Q928" s="11">
        <v>-14</v>
      </c>
      <c r="R928" s="10">
        <v>-2.9</v>
      </c>
      <c r="S928" s="12">
        <v>116</v>
      </c>
      <c r="T928" s="8" t="s">
        <v>1206</v>
      </c>
      <c r="U928" s="11">
        <v>-36</v>
      </c>
      <c r="V928" s="11">
        <v>-34</v>
      </c>
      <c r="W928" s="11">
        <v>-32</v>
      </c>
      <c r="X928" s="11">
        <v>-30</v>
      </c>
      <c r="Y928" s="11">
        <v>-21</v>
      </c>
      <c r="Z928" s="11">
        <v>-41</v>
      </c>
      <c r="AA928" s="11">
        <v>5.8</v>
      </c>
      <c r="AB928" s="11">
        <v>216</v>
      </c>
      <c r="AC928" s="11">
        <v>-10.199999999999999</v>
      </c>
      <c r="AD928" s="11">
        <v>281</v>
      </c>
      <c r="AE928" s="11">
        <v>-6.9</v>
      </c>
      <c r="AF928" s="11">
        <v>307</v>
      </c>
      <c r="AG928" s="11">
        <v>-5.6</v>
      </c>
      <c r="AH928" s="11">
        <v>68</v>
      </c>
      <c r="AI928" s="11">
        <v>67</v>
      </c>
      <c r="AJ928" s="11" t="s">
        <v>84</v>
      </c>
      <c r="AK928" s="11" t="s">
        <v>56</v>
      </c>
      <c r="AL928" s="11" t="s">
        <v>44</v>
      </c>
      <c r="AM928" s="10">
        <v>6.9</v>
      </c>
      <c r="AN928" s="9">
        <v>116</v>
      </c>
      <c r="AO928" s="8" t="s">
        <v>1205</v>
      </c>
      <c r="AP928" s="8">
        <v>1010</v>
      </c>
      <c r="AQ928" s="8">
        <v>13.2</v>
      </c>
      <c r="AR928" s="8">
        <v>16</v>
      </c>
      <c r="AS928" s="8">
        <v>15.5</v>
      </c>
      <c r="AT928" s="8">
        <v>29</v>
      </c>
      <c r="AU928" s="8">
        <v>6.2</v>
      </c>
      <c r="AV928" s="8">
        <v>82</v>
      </c>
      <c r="AW928" s="8">
        <v>75</v>
      </c>
      <c r="AX928" s="8">
        <v>302</v>
      </c>
      <c r="AY928" s="8" t="s">
        <v>64</v>
      </c>
      <c r="AZ928" s="8" t="s">
        <v>151</v>
      </c>
      <c r="BA928" s="7" t="s">
        <v>46</v>
      </c>
      <c r="BB928" s="9">
        <v>100</v>
      </c>
      <c r="BC928" s="8" t="s">
        <v>1204</v>
      </c>
      <c r="BD928" s="8">
        <v>2.2999999999999998</v>
      </c>
      <c r="BE928" s="8">
        <v>1.9</v>
      </c>
      <c r="BF928" s="8">
        <v>2.1</v>
      </c>
      <c r="BG928" s="8">
        <v>3.1</v>
      </c>
      <c r="BH928" s="8">
        <v>5.4</v>
      </c>
      <c r="BI928" s="8">
        <v>8.4</v>
      </c>
      <c r="BJ928" s="8">
        <v>11.3</v>
      </c>
      <c r="BK928" s="8">
        <v>11.3</v>
      </c>
      <c r="BL928" s="8">
        <v>8.1</v>
      </c>
      <c r="BM928" s="8">
        <v>4.4000000000000004</v>
      </c>
      <c r="BN928" s="8">
        <v>2.7</v>
      </c>
      <c r="BO928" s="8">
        <v>2.1</v>
      </c>
      <c r="BP928" s="7">
        <v>5.3</v>
      </c>
    </row>
    <row r="929" spans="1:68" ht="14.25" customHeight="1">
      <c r="A929" s="12">
        <v>272</v>
      </c>
      <c r="B929" s="14">
        <v>161</v>
      </c>
      <c r="C929" s="13" t="s">
        <v>30</v>
      </c>
      <c r="D929" s="13" t="s">
        <v>127</v>
      </c>
      <c r="E929" s="13" t="s">
        <v>1201</v>
      </c>
      <c r="F929" s="11">
        <v>-11.8</v>
      </c>
      <c r="G929" s="11">
        <v>-11.1</v>
      </c>
      <c r="H929" s="11">
        <v>-5.3</v>
      </c>
      <c r="I929" s="11">
        <v>3.2</v>
      </c>
      <c r="J929" s="11">
        <v>10.9</v>
      </c>
      <c r="K929" s="11">
        <v>15.5</v>
      </c>
      <c r="L929" s="11">
        <v>17.8</v>
      </c>
      <c r="M929" s="11">
        <v>16.100000000000001</v>
      </c>
      <c r="N929" s="11">
        <v>10</v>
      </c>
      <c r="O929" s="11">
        <v>3.2</v>
      </c>
      <c r="P929" s="11">
        <v>-2.9</v>
      </c>
      <c r="Q929" s="11">
        <v>-8.6999999999999993</v>
      </c>
      <c r="R929" s="10">
        <v>3.1</v>
      </c>
      <c r="S929" s="12">
        <v>161</v>
      </c>
      <c r="T929" s="8" t="s">
        <v>1203</v>
      </c>
      <c r="U929" s="11">
        <v>-40</v>
      </c>
      <c r="V929" s="11">
        <v>-35</v>
      </c>
      <c r="W929" s="11">
        <v>-34</v>
      </c>
      <c r="X929" s="11">
        <v>-31</v>
      </c>
      <c r="Y929" s="11">
        <v>-17</v>
      </c>
      <c r="Z929" s="11">
        <v>-46</v>
      </c>
      <c r="AA929" s="11">
        <v>6.5</v>
      </c>
      <c r="AB929" s="11">
        <v>154</v>
      </c>
      <c r="AC929" s="11">
        <v>-7.4</v>
      </c>
      <c r="AD929" s="11">
        <v>222</v>
      </c>
      <c r="AE929" s="11">
        <v>-3.9</v>
      </c>
      <c r="AF929" s="11">
        <v>239</v>
      </c>
      <c r="AG929" s="11">
        <v>-3</v>
      </c>
      <c r="AH929" s="11">
        <v>85</v>
      </c>
      <c r="AI929" s="11">
        <v>81</v>
      </c>
      <c r="AJ929" s="11">
        <v>169</v>
      </c>
      <c r="AK929" s="11" t="s">
        <v>34</v>
      </c>
      <c r="AL929" s="11">
        <v>5.8</v>
      </c>
      <c r="AM929" s="10">
        <v>4.9000000000000004</v>
      </c>
      <c r="AN929" s="9">
        <v>161</v>
      </c>
      <c r="AO929" s="8" t="s">
        <v>1202</v>
      </c>
      <c r="AP929" s="8">
        <v>995</v>
      </c>
      <c r="AQ929" s="8">
        <v>21.2</v>
      </c>
      <c r="AR929" s="8">
        <v>25.4</v>
      </c>
      <c r="AS929" s="8">
        <v>23.1</v>
      </c>
      <c r="AT929" s="8">
        <v>37</v>
      </c>
      <c r="AU929" s="8">
        <v>9.9</v>
      </c>
      <c r="AV929" s="8">
        <v>74</v>
      </c>
      <c r="AW929" s="8">
        <v>58</v>
      </c>
      <c r="AX929" s="8">
        <v>409</v>
      </c>
      <c r="AY929" s="8">
        <v>62</v>
      </c>
      <c r="AZ929" s="8" t="s">
        <v>114</v>
      </c>
      <c r="BA929" s="7">
        <v>4.2</v>
      </c>
      <c r="BB929" s="9">
        <v>141</v>
      </c>
      <c r="BC929" s="8" t="s">
        <v>1201</v>
      </c>
      <c r="BD929" s="8">
        <v>2.5</v>
      </c>
      <c r="BE929" s="8">
        <v>2.6</v>
      </c>
      <c r="BF929" s="8">
        <v>3.6</v>
      </c>
      <c r="BG929" s="8">
        <v>5.8</v>
      </c>
      <c r="BH929" s="8">
        <v>8.6</v>
      </c>
      <c r="BI929" s="8">
        <v>12.3</v>
      </c>
      <c r="BJ929" s="8">
        <v>14.9</v>
      </c>
      <c r="BK929" s="8">
        <v>13.8</v>
      </c>
      <c r="BL929" s="8">
        <v>10.199999999999999</v>
      </c>
      <c r="BM929" s="8">
        <v>6.7</v>
      </c>
      <c r="BN929" s="8">
        <v>4.5999999999999996</v>
      </c>
      <c r="BO929" s="8">
        <v>3.3</v>
      </c>
      <c r="BP929" s="7">
        <v>7.4</v>
      </c>
    </row>
    <row r="930" spans="1:68" ht="14.25" customHeight="1">
      <c r="A930" s="12">
        <v>273</v>
      </c>
      <c r="B930" s="14">
        <v>68</v>
      </c>
      <c r="C930" s="13" t="s">
        <v>30</v>
      </c>
      <c r="D930" s="13" t="s">
        <v>91</v>
      </c>
      <c r="E930" s="13" t="s">
        <v>1198</v>
      </c>
      <c r="F930" s="11">
        <v>-11.7</v>
      </c>
      <c r="G930" s="11">
        <v>-11.6</v>
      </c>
      <c r="H930" s="11">
        <v>-5.2</v>
      </c>
      <c r="I930" s="11">
        <v>7.2</v>
      </c>
      <c r="J930" s="11">
        <v>15.7</v>
      </c>
      <c r="K930" s="11">
        <v>20.2</v>
      </c>
      <c r="L930" s="11">
        <v>22.7</v>
      </c>
      <c r="M930" s="11">
        <v>21</v>
      </c>
      <c r="N930" s="11">
        <v>14.5</v>
      </c>
      <c r="O930" s="11">
        <v>6</v>
      </c>
      <c r="P930" s="11">
        <v>-1.3</v>
      </c>
      <c r="Q930" s="11">
        <v>-8.1</v>
      </c>
      <c r="R930" s="10">
        <v>5.8</v>
      </c>
      <c r="S930" s="12">
        <v>68</v>
      </c>
      <c r="T930" s="8" t="s">
        <v>1200</v>
      </c>
      <c r="U930" s="11">
        <v>-32</v>
      </c>
      <c r="V930" s="11">
        <v>-30</v>
      </c>
      <c r="W930" s="11">
        <v>-29</v>
      </c>
      <c r="X930" s="11">
        <v>-26</v>
      </c>
      <c r="Y930" s="11" t="s">
        <v>49</v>
      </c>
      <c r="Z930" s="11">
        <v>-40</v>
      </c>
      <c r="AA930" s="11">
        <v>8.1</v>
      </c>
      <c r="AB930" s="11">
        <v>146</v>
      </c>
      <c r="AC930" s="11">
        <v>-6.7</v>
      </c>
      <c r="AD930" s="11">
        <v>190</v>
      </c>
      <c r="AE930" s="11">
        <v>-3.9</v>
      </c>
      <c r="AF930" s="11">
        <v>205</v>
      </c>
      <c r="AG930" s="11">
        <v>-3.1</v>
      </c>
      <c r="AH930" s="11">
        <v>84</v>
      </c>
      <c r="AI930" s="11">
        <v>81</v>
      </c>
      <c r="AJ930" s="11">
        <v>109</v>
      </c>
      <c r="AK930" s="11" t="s">
        <v>199</v>
      </c>
      <c r="AL930" s="11" t="s">
        <v>44</v>
      </c>
      <c r="AM930" s="10">
        <v>4.2</v>
      </c>
      <c r="AN930" s="9">
        <v>68</v>
      </c>
      <c r="AO930" s="8" t="s">
        <v>1199</v>
      </c>
      <c r="AP930" s="8">
        <v>1005</v>
      </c>
      <c r="AQ930" s="8">
        <v>28</v>
      </c>
      <c r="AR930" s="8">
        <v>32</v>
      </c>
      <c r="AS930" s="8">
        <v>29.5</v>
      </c>
      <c r="AT930" s="8">
        <v>43</v>
      </c>
      <c r="AU930" s="8">
        <v>14.1</v>
      </c>
      <c r="AV930" s="8">
        <v>54</v>
      </c>
      <c r="AW930" s="8">
        <v>39</v>
      </c>
      <c r="AX930" s="8">
        <v>221</v>
      </c>
      <c r="AY930" s="8" t="s">
        <v>64</v>
      </c>
      <c r="AZ930" s="8" t="s">
        <v>32</v>
      </c>
      <c r="BA930" s="7" t="s">
        <v>46</v>
      </c>
      <c r="BB930" s="9">
        <v>53</v>
      </c>
      <c r="BC930" s="8" t="s">
        <v>1198</v>
      </c>
      <c r="BD930" s="8">
        <v>2.6</v>
      </c>
      <c r="BE930" s="8">
        <v>2.7</v>
      </c>
      <c r="BF930" s="8">
        <v>4</v>
      </c>
      <c r="BG930" s="8">
        <v>7</v>
      </c>
      <c r="BH930" s="8">
        <v>9.5</v>
      </c>
      <c r="BI930" s="8">
        <v>12.3</v>
      </c>
      <c r="BJ930" s="8">
        <v>14</v>
      </c>
      <c r="BK930" s="8">
        <v>12.7</v>
      </c>
      <c r="BL930" s="8">
        <v>9.5</v>
      </c>
      <c r="BM930" s="8">
        <v>6.8</v>
      </c>
      <c r="BN930" s="8">
        <v>5.0999999999999996</v>
      </c>
      <c r="BO930" s="8">
        <v>3.6</v>
      </c>
      <c r="BP930" s="7">
        <v>7.5</v>
      </c>
    </row>
    <row r="931" spans="1:68" ht="14.25" customHeight="1">
      <c r="A931" s="12">
        <v>274</v>
      </c>
      <c r="B931" s="14">
        <v>69</v>
      </c>
      <c r="C931" s="13" t="s">
        <v>30</v>
      </c>
      <c r="D931" s="13" t="s">
        <v>91</v>
      </c>
      <c r="E931" s="13" t="s">
        <v>1195</v>
      </c>
      <c r="F931" s="11">
        <v>-7.4</v>
      </c>
      <c r="G931" s="11">
        <v>-6.8</v>
      </c>
      <c r="H931" s="11">
        <v>-0.8</v>
      </c>
      <c r="I931" s="11">
        <v>9.5</v>
      </c>
      <c r="J931" s="11">
        <v>17</v>
      </c>
      <c r="K931" s="11">
        <v>21.2</v>
      </c>
      <c r="L931" s="11">
        <v>24</v>
      </c>
      <c r="M931" s="11">
        <v>22.7</v>
      </c>
      <c r="N931" s="11">
        <v>16.2</v>
      </c>
      <c r="O931" s="11">
        <v>8.3000000000000007</v>
      </c>
      <c r="P931" s="11">
        <v>1.9</v>
      </c>
      <c r="Q931" s="11">
        <v>-3.7</v>
      </c>
      <c r="R931" s="10">
        <v>8.5</v>
      </c>
      <c r="S931" s="12">
        <v>69</v>
      </c>
      <c r="T931" s="8" t="s">
        <v>1197</v>
      </c>
      <c r="U931" s="11">
        <v>-32</v>
      </c>
      <c r="V931" s="11">
        <v>-29</v>
      </c>
      <c r="W931" s="11">
        <v>-27</v>
      </c>
      <c r="X931" s="11">
        <v>-24</v>
      </c>
      <c r="Y931" s="11">
        <v>-12</v>
      </c>
      <c r="Z931" s="11">
        <v>-38</v>
      </c>
      <c r="AA931" s="11">
        <v>6.8</v>
      </c>
      <c r="AB931" s="11">
        <v>112</v>
      </c>
      <c r="AC931" s="11">
        <v>-4.7</v>
      </c>
      <c r="AD931" s="11">
        <v>176</v>
      </c>
      <c r="AE931" s="11">
        <v>-1.6</v>
      </c>
      <c r="AF931" s="11">
        <v>190</v>
      </c>
      <c r="AG931" s="11">
        <v>-0.8</v>
      </c>
      <c r="AH931" s="11">
        <v>85</v>
      </c>
      <c r="AI931" s="11">
        <v>84</v>
      </c>
      <c r="AJ931" s="11">
        <v>161</v>
      </c>
      <c r="AK931" s="11" t="s">
        <v>66</v>
      </c>
      <c r="AL931" s="11">
        <v>4.2</v>
      </c>
      <c r="AM931" s="10">
        <v>4.0999999999999996</v>
      </c>
      <c r="AN931" s="9">
        <v>69</v>
      </c>
      <c r="AO931" s="8" t="s">
        <v>1196</v>
      </c>
      <c r="AP931" s="8">
        <v>1005</v>
      </c>
      <c r="AQ931" s="8">
        <v>28.4</v>
      </c>
      <c r="AR931" s="8">
        <v>32.299999999999997</v>
      </c>
      <c r="AS931" s="8">
        <v>30.8</v>
      </c>
      <c r="AT931" s="8">
        <v>42</v>
      </c>
      <c r="AU931" s="8">
        <v>13.8</v>
      </c>
      <c r="AV931" s="8">
        <v>51</v>
      </c>
      <c r="AW931" s="8">
        <v>34</v>
      </c>
      <c r="AX931" s="8">
        <v>261</v>
      </c>
      <c r="AY931" s="8">
        <v>51</v>
      </c>
      <c r="AZ931" s="8" t="s">
        <v>54</v>
      </c>
      <c r="BA931" s="7">
        <v>3.1</v>
      </c>
      <c r="BB931" s="9">
        <v>54</v>
      </c>
      <c r="BC931" s="8" t="s">
        <v>1195</v>
      </c>
      <c r="BD931" s="8">
        <v>3.6</v>
      </c>
      <c r="BE931" s="8">
        <v>3.8</v>
      </c>
      <c r="BF931" s="8">
        <v>5.0999999999999996</v>
      </c>
      <c r="BG931" s="8">
        <v>7.6</v>
      </c>
      <c r="BH931" s="8">
        <v>10.199999999999999</v>
      </c>
      <c r="BI931" s="8">
        <v>13.2</v>
      </c>
      <c r="BJ931" s="8">
        <v>14.3</v>
      </c>
      <c r="BK931" s="8">
        <v>13.4</v>
      </c>
      <c r="BL931" s="8">
        <v>10.3</v>
      </c>
      <c r="BM931" s="8">
        <v>7.9</v>
      </c>
      <c r="BN931" s="8">
        <v>6.3</v>
      </c>
      <c r="BO931" s="8">
        <v>4.7</v>
      </c>
      <c r="BP931" s="7">
        <v>8.4</v>
      </c>
    </row>
    <row r="932" spans="1:68" ht="14.25" customHeight="1">
      <c r="A932" s="12">
        <v>275</v>
      </c>
      <c r="B932" s="14">
        <v>453</v>
      </c>
      <c r="C932" s="13" t="s">
        <v>30</v>
      </c>
      <c r="D932" s="13" t="s">
        <v>230</v>
      </c>
      <c r="E932" s="13" t="s">
        <v>1193</v>
      </c>
      <c r="F932" s="11">
        <v>-17.3</v>
      </c>
      <c r="G932" s="11">
        <v>-17.8</v>
      </c>
      <c r="H932" s="11">
        <v>-12.6</v>
      </c>
      <c r="I932" s="11">
        <v>-5.4</v>
      </c>
      <c r="J932" s="11">
        <v>0.9</v>
      </c>
      <c r="K932" s="11">
        <v>8.4</v>
      </c>
      <c r="L932" s="11">
        <v>12.9</v>
      </c>
      <c r="M932" s="11">
        <v>10.9</v>
      </c>
      <c r="N932" s="11">
        <v>5.6</v>
      </c>
      <c r="O932" s="11">
        <v>-1.8</v>
      </c>
      <c r="P932" s="11">
        <v>-9</v>
      </c>
      <c r="Q932" s="11">
        <v>-13.5</v>
      </c>
      <c r="R932" s="10">
        <v>-3.2</v>
      </c>
      <c r="S932" s="12">
        <v>453</v>
      </c>
      <c r="T932" s="8" t="s">
        <v>1193</v>
      </c>
      <c r="U932" s="11">
        <v>-49</v>
      </c>
      <c r="V932" s="11">
        <v>-47</v>
      </c>
      <c r="W932" s="11">
        <v>-43</v>
      </c>
      <c r="X932" s="11">
        <v>-41</v>
      </c>
      <c r="Y932" s="11">
        <v>-23</v>
      </c>
      <c r="Z932" s="11">
        <v>-51</v>
      </c>
      <c r="AA932" s="11">
        <v>10</v>
      </c>
      <c r="AB932" s="11">
        <v>215</v>
      </c>
      <c r="AC932" s="11">
        <v>-10.7</v>
      </c>
      <c r="AD932" s="11">
        <v>285</v>
      </c>
      <c r="AE932" s="11">
        <v>-7.1</v>
      </c>
      <c r="AF932" s="11">
        <v>309</v>
      </c>
      <c r="AG932" s="11">
        <v>-5.8</v>
      </c>
      <c r="AH932" s="11">
        <v>82</v>
      </c>
      <c r="AI932" s="11">
        <v>81</v>
      </c>
      <c r="AJ932" s="11">
        <v>148</v>
      </c>
      <c r="AK932" s="11" t="s">
        <v>39</v>
      </c>
      <c r="AL932" s="11" t="s">
        <v>44</v>
      </c>
      <c r="AM932" s="10">
        <v>3.7</v>
      </c>
      <c r="AN932" s="9">
        <v>453</v>
      </c>
      <c r="AO932" s="8" t="s">
        <v>1194</v>
      </c>
      <c r="AP932" s="8">
        <v>1010</v>
      </c>
      <c r="AQ932" s="8">
        <v>16.399999999999999</v>
      </c>
      <c r="AR932" s="8">
        <v>20.9</v>
      </c>
      <c r="AS932" s="8">
        <v>18.8</v>
      </c>
      <c r="AT932" s="8">
        <v>34</v>
      </c>
      <c r="AU932" s="8">
        <v>11.3</v>
      </c>
      <c r="AV932" s="8">
        <v>75</v>
      </c>
      <c r="AW932" s="8">
        <v>62</v>
      </c>
      <c r="AX932" s="8">
        <v>340</v>
      </c>
      <c r="AY932" s="8">
        <v>40</v>
      </c>
      <c r="AZ932" s="8" t="s">
        <v>37</v>
      </c>
      <c r="BA932" s="7" t="s">
        <v>46</v>
      </c>
      <c r="BB932" s="9">
        <v>415</v>
      </c>
      <c r="BC932" s="8" t="s">
        <v>1193</v>
      </c>
      <c r="BD932" s="8">
        <v>1.8</v>
      </c>
      <c r="BE932" s="8">
        <v>1.7</v>
      </c>
      <c r="BF932" s="8">
        <v>2.4</v>
      </c>
      <c r="BG932" s="8">
        <v>3.6</v>
      </c>
      <c r="BH932" s="8">
        <v>5.0999999999999996</v>
      </c>
      <c r="BI932" s="8">
        <v>8</v>
      </c>
      <c r="BJ932" s="8">
        <v>11.2</v>
      </c>
      <c r="BK932" s="8">
        <v>10.9</v>
      </c>
      <c r="BL932" s="8">
        <v>8</v>
      </c>
      <c r="BM932" s="8">
        <v>5.0999999999999996</v>
      </c>
      <c r="BN932" s="8">
        <v>3.3</v>
      </c>
      <c r="BO932" s="8">
        <v>2.4</v>
      </c>
      <c r="BP932" s="7">
        <v>5.3</v>
      </c>
    </row>
    <row r="933" spans="1:68" ht="14.25" customHeight="1">
      <c r="A933" s="12">
        <v>276</v>
      </c>
      <c r="B933" s="14">
        <v>42</v>
      </c>
      <c r="C933" s="13" t="s">
        <v>30</v>
      </c>
      <c r="D933" s="13" t="s">
        <v>844</v>
      </c>
      <c r="E933" s="13" t="s">
        <v>1190</v>
      </c>
      <c r="F933" s="11">
        <v>-14.6</v>
      </c>
      <c r="G933" s="11">
        <v>-12.6</v>
      </c>
      <c r="H933" s="11">
        <v>-6.4</v>
      </c>
      <c r="I933" s="11">
        <v>1.6</v>
      </c>
      <c r="J933" s="11">
        <v>8.6</v>
      </c>
      <c r="K933" s="11">
        <v>14.4</v>
      </c>
      <c r="L933" s="11">
        <v>17.2</v>
      </c>
      <c r="M933" s="11">
        <v>14.4</v>
      </c>
      <c r="N933" s="11">
        <v>8.3000000000000007</v>
      </c>
      <c r="O933" s="11">
        <v>1.4</v>
      </c>
      <c r="P933" s="11">
        <v>-5.3</v>
      </c>
      <c r="Q933" s="11">
        <v>-11.2</v>
      </c>
      <c r="R933" s="10">
        <v>1.4</v>
      </c>
      <c r="S933" s="12">
        <v>42</v>
      </c>
      <c r="T933" s="8" t="s">
        <v>1192</v>
      </c>
      <c r="U933" s="11">
        <v>-41</v>
      </c>
      <c r="V933" s="11">
        <v>-39</v>
      </c>
      <c r="W933" s="11">
        <v>-37</v>
      </c>
      <c r="X933" s="11">
        <v>-34</v>
      </c>
      <c r="Y933" s="11">
        <v>-19</v>
      </c>
      <c r="Z933" s="11">
        <v>-47</v>
      </c>
      <c r="AA933" s="11">
        <v>7.1</v>
      </c>
      <c r="AB933" s="11">
        <v>168</v>
      </c>
      <c r="AC933" s="11">
        <v>-9.1</v>
      </c>
      <c r="AD933" s="11">
        <v>237</v>
      </c>
      <c r="AE933" s="11">
        <v>-5.3</v>
      </c>
      <c r="AF933" s="11">
        <v>258</v>
      </c>
      <c r="AG933" s="11">
        <v>-4.0999999999999996</v>
      </c>
      <c r="AH933" s="11">
        <v>86</v>
      </c>
      <c r="AI933" s="11">
        <v>80</v>
      </c>
      <c r="AJ933" s="11">
        <v>184</v>
      </c>
      <c r="AK933" s="11" t="s">
        <v>34</v>
      </c>
      <c r="AL933" s="11">
        <v>5.6</v>
      </c>
      <c r="AM933" s="10">
        <v>4.5</v>
      </c>
      <c r="AN933" s="9">
        <v>42</v>
      </c>
      <c r="AO933" s="8" t="s">
        <v>1191</v>
      </c>
      <c r="AP933" s="8">
        <v>1010</v>
      </c>
      <c r="AQ933" s="8">
        <v>18</v>
      </c>
      <c r="AR933" s="8">
        <v>26</v>
      </c>
      <c r="AS933" s="8">
        <v>23.2</v>
      </c>
      <c r="AT933" s="8">
        <v>34</v>
      </c>
      <c r="AU933" s="8">
        <v>11.2</v>
      </c>
      <c r="AV933" s="8">
        <v>74</v>
      </c>
      <c r="AW933" s="8">
        <v>56</v>
      </c>
      <c r="AX933" s="8">
        <v>415</v>
      </c>
      <c r="AY933" s="8">
        <v>82</v>
      </c>
      <c r="AZ933" s="8" t="s">
        <v>54</v>
      </c>
      <c r="BA933" s="7">
        <v>4</v>
      </c>
      <c r="BB933" s="9">
        <v>28</v>
      </c>
      <c r="BC933" s="8" t="s">
        <v>1190</v>
      </c>
      <c r="BD933" s="8">
        <v>2.2000000000000002</v>
      </c>
      <c r="BE933" s="8">
        <v>2.4</v>
      </c>
      <c r="BF933" s="8">
        <v>3.3</v>
      </c>
      <c r="BG933" s="8">
        <v>5</v>
      </c>
      <c r="BH933" s="8">
        <v>7.4</v>
      </c>
      <c r="BI933" s="8">
        <v>11.2</v>
      </c>
      <c r="BJ933" s="8">
        <v>14.1</v>
      </c>
      <c r="BK933" s="8">
        <v>12.9</v>
      </c>
      <c r="BL933" s="8">
        <v>9.4</v>
      </c>
      <c r="BM933" s="8">
        <v>6.1</v>
      </c>
      <c r="BN933" s="8">
        <v>4.0999999999999996</v>
      </c>
      <c r="BO933" s="8">
        <v>2.8</v>
      </c>
      <c r="BP933" s="7">
        <v>6.8</v>
      </c>
    </row>
    <row r="934" spans="1:68" ht="14.25" customHeight="1">
      <c r="A934" s="12">
        <v>277</v>
      </c>
      <c r="B934" s="14">
        <v>235</v>
      </c>
      <c r="C934" s="13" t="s">
        <v>30</v>
      </c>
      <c r="D934" s="13" t="s">
        <v>149</v>
      </c>
      <c r="E934" s="13" t="s">
        <v>1187</v>
      </c>
      <c r="F934" s="11">
        <v>-19.600000000000001</v>
      </c>
      <c r="G934" s="11">
        <v>-18.2</v>
      </c>
      <c r="H934" s="11">
        <v>-11.5</v>
      </c>
      <c r="I934" s="11">
        <v>1.2</v>
      </c>
      <c r="J934" s="11">
        <v>10.7</v>
      </c>
      <c r="K934" s="11">
        <v>16.7</v>
      </c>
      <c r="L934" s="11">
        <v>18.600000000000001</v>
      </c>
      <c r="M934" s="11">
        <v>15.4</v>
      </c>
      <c r="N934" s="11">
        <v>9.6999999999999993</v>
      </c>
      <c r="O934" s="11">
        <v>1.4</v>
      </c>
      <c r="P934" s="11">
        <v>-9.5</v>
      </c>
      <c r="Q934" s="11">
        <v>-16.899999999999999</v>
      </c>
      <c r="R934" s="10">
        <v>-0.2</v>
      </c>
      <c r="S934" s="12">
        <v>235</v>
      </c>
      <c r="T934" s="8" t="s">
        <v>1189</v>
      </c>
      <c r="U934" s="11">
        <v>-45</v>
      </c>
      <c r="V934" s="11">
        <v>-42</v>
      </c>
      <c r="W934" s="11">
        <v>-43</v>
      </c>
      <c r="X934" s="11">
        <v>-39</v>
      </c>
      <c r="Y934" s="11">
        <v>-25</v>
      </c>
      <c r="Z934" s="11">
        <v>-50</v>
      </c>
      <c r="AA934" s="11">
        <v>9.3000000000000007</v>
      </c>
      <c r="AB934" s="11">
        <v>175</v>
      </c>
      <c r="AC934" s="11">
        <v>-12.9</v>
      </c>
      <c r="AD934" s="11">
        <v>228</v>
      </c>
      <c r="AE934" s="11">
        <v>-8.9</v>
      </c>
      <c r="AF934" s="11">
        <v>242</v>
      </c>
      <c r="AG934" s="11">
        <v>-7.9</v>
      </c>
      <c r="AH934" s="11">
        <v>81</v>
      </c>
      <c r="AI934" s="11">
        <v>80</v>
      </c>
      <c r="AJ934" s="11">
        <v>90</v>
      </c>
      <c r="AK934" s="11" t="s">
        <v>39</v>
      </c>
      <c r="AL934" s="11" t="s">
        <v>44</v>
      </c>
      <c r="AM934" s="10" t="s">
        <v>44</v>
      </c>
      <c r="AN934" s="9">
        <v>235</v>
      </c>
      <c r="AO934" s="8" t="s">
        <v>1188</v>
      </c>
      <c r="AP934" s="8">
        <v>990</v>
      </c>
      <c r="AQ934" s="8">
        <v>22.9</v>
      </c>
      <c r="AR934" s="8">
        <v>27</v>
      </c>
      <c r="AS934" s="8">
        <v>25.3</v>
      </c>
      <c r="AT934" s="8">
        <v>39</v>
      </c>
      <c r="AU934" s="8">
        <v>13.3</v>
      </c>
      <c r="AV934" s="8">
        <v>73</v>
      </c>
      <c r="AW934" s="8">
        <v>54</v>
      </c>
      <c r="AX934" s="8">
        <v>295</v>
      </c>
      <c r="AY934" s="8">
        <v>68</v>
      </c>
      <c r="AZ934" s="8" t="s">
        <v>82</v>
      </c>
      <c r="BA934" s="7" t="s">
        <v>46</v>
      </c>
      <c r="BB934" s="9">
        <v>207</v>
      </c>
      <c r="BC934" s="8" t="s">
        <v>1187</v>
      </c>
      <c r="BD934" s="8">
        <v>1.5</v>
      </c>
      <c r="BE934" s="8">
        <v>1.5</v>
      </c>
      <c r="BF934" s="8">
        <v>2.5</v>
      </c>
      <c r="BG934" s="8">
        <v>5.2</v>
      </c>
      <c r="BH934" s="8">
        <v>7.5</v>
      </c>
      <c r="BI934" s="8">
        <v>11.9</v>
      </c>
      <c r="BJ934" s="8">
        <v>15</v>
      </c>
      <c r="BK934" s="8">
        <v>13</v>
      </c>
      <c r="BL934" s="8">
        <v>8.8000000000000007</v>
      </c>
      <c r="BM934" s="8">
        <v>5.4</v>
      </c>
      <c r="BN934" s="8">
        <v>3.1</v>
      </c>
      <c r="BO934" s="8">
        <v>1.8</v>
      </c>
      <c r="BP934" s="7">
        <v>6.4</v>
      </c>
    </row>
    <row r="935" spans="1:68" ht="14.25" customHeight="1">
      <c r="A935" s="12">
        <v>278</v>
      </c>
      <c r="B935" s="14">
        <v>541</v>
      </c>
      <c r="C935" s="13" t="s">
        <v>158</v>
      </c>
      <c r="D935" s="13" t="s">
        <v>540</v>
      </c>
      <c r="E935" s="13" t="s">
        <v>1185</v>
      </c>
      <c r="F935" s="11">
        <v>-9.9</v>
      </c>
      <c r="G935" s="11">
        <v>-6</v>
      </c>
      <c r="H935" s="11">
        <v>0.5</v>
      </c>
      <c r="I935" s="11">
        <v>6.5</v>
      </c>
      <c r="J935" s="11">
        <v>11</v>
      </c>
      <c r="K935" s="11">
        <v>13.8</v>
      </c>
      <c r="L935" s="11">
        <v>16.3</v>
      </c>
      <c r="M935" s="11">
        <v>15</v>
      </c>
      <c r="N935" s="11">
        <v>10.9</v>
      </c>
      <c r="O935" s="11">
        <v>4.8</v>
      </c>
      <c r="P935" s="11">
        <v>-3.2</v>
      </c>
      <c r="Q935" s="11">
        <v>-8.8000000000000007</v>
      </c>
      <c r="R935" s="10">
        <v>4.2</v>
      </c>
      <c r="S935" s="12">
        <v>541</v>
      </c>
      <c r="T935" s="8" t="s">
        <v>1185</v>
      </c>
      <c r="U935" s="11">
        <v>-24</v>
      </c>
      <c r="V935" s="11">
        <v>-22</v>
      </c>
      <c r="W935" s="11">
        <v>-23</v>
      </c>
      <c r="X935" s="11">
        <v>-21</v>
      </c>
      <c r="Y935" s="11" t="s">
        <v>49</v>
      </c>
      <c r="Z935" s="11">
        <v>-36</v>
      </c>
      <c r="AA935" s="11" t="s">
        <v>49</v>
      </c>
      <c r="AB935" s="11" t="s">
        <v>84</v>
      </c>
      <c r="AC935" s="11" t="s">
        <v>45</v>
      </c>
      <c r="AD935" s="11" t="s">
        <v>84</v>
      </c>
      <c r="AE935" s="11" t="s">
        <v>44</v>
      </c>
      <c r="AF935" s="11" t="s">
        <v>114</v>
      </c>
      <c r="AG935" s="11" t="s">
        <v>44</v>
      </c>
      <c r="AH935" s="11">
        <v>62</v>
      </c>
      <c r="AI935" s="11">
        <v>42</v>
      </c>
      <c r="AJ935" s="11">
        <v>23</v>
      </c>
      <c r="AK935" s="11" t="s">
        <v>48</v>
      </c>
      <c r="AL935" s="11">
        <v>1.7</v>
      </c>
      <c r="AM935" s="10" t="s">
        <v>44</v>
      </c>
      <c r="AN935" s="9">
        <v>541</v>
      </c>
      <c r="AO935" s="8" t="s">
        <v>1186</v>
      </c>
      <c r="AP935" s="8" t="s">
        <v>64</v>
      </c>
      <c r="AQ935" s="8" t="s">
        <v>45</v>
      </c>
      <c r="AR935" s="8" t="s">
        <v>44</v>
      </c>
      <c r="AS935" s="8" t="s">
        <v>45</v>
      </c>
      <c r="AT935" s="8">
        <v>35</v>
      </c>
      <c r="AU935" s="8" t="s">
        <v>46</v>
      </c>
      <c r="AV935" s="8">
        <v>60</v>
      </c>
      <c r="AW935" s="8">
        <v>36</v>
      </c>
      <c r="AX935" s="8">
        <v>209</v>
      </c>
      <c r="AY935" s="8">
        <v>30</v>
      </c>
      <c r="AZ935" s="8" t="s">
        <v>63</v>
      </c>
      <c r="BA935" s="7">
        <v>0.8</v>
      </c>
      <c r="BB935" s="9"/>
      <c r="BC935" s="8" t="s">
        <v>1185</v>
      </c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7"/>
    </row>
    <row r="936" spans="1:68" ht="14.25" customHeight="1">
      <c r="A936" s="12">
        <v>279</v>
      </c>
      <c r="B936" s="14">
        <v>8</v>
      </c>
      <c r="C936" s="13" t="s">
        <v>30</v>
      </c>
      <c r="D936" s="13" t="s">
        <v>438</v>
      </c>
      <c r="E936" s="13" t="s">
        <v>1182</v>
      </c>
      <c r="F936" s="11">
        <v>-30.5</v>
      </c>
      <c r="G936" s="11">
        <v>-26.8</v>
      </c>
      <c r="H936" s="11">
        <v>-15</v>
      </c>
      <c r="I936" s="11">
        <v>-1.4</v>
      </c>
      <c r="J936" s="11">
        <v>6.2</v>
      </c>
      <c r="K936" s="11">
        <v>12.3</v>
      </c>
      <c r="L936" s="11">
        <v>14</v>
      </c>
      <c r="M936" s="11">
        <v>12</v>
      </c>
      <c r="N936" s="11">
        <v>5.8</v>
      </c>
      <c r="O936" s="11">
        <v>-3.8</v>
      </c>
      <c r="P936" s="11">
        <v>-17.100000000000001</v>
      </c>
      <c r="Q936" s="11">
        <v>-26.9</v>
      </c>
      <c r="R936" s="10">
        <v>-5.9</v>
      </c>
      <c r="S936" s="12">
        <v>8</v>
      </c>
      <c r="T936" s="8" t="s">
        <v>1184</v>
      </c>
      <c r="U936" s="11">
        <v>-49</v>
      </c>
      <c r="V936" s="11">
        <v>-48</v>
      </c>
      <c r="W936" s="11">
        <v>-48</v>
      </c>
      <c r="X936" s="11">
        <v>-46</v>
      </c>
      <c r="Y936" s="11">
        <v>-36</v>
      </c>
      <c r="Z936" s="11">
        <v>-55</v>
      </c>
      <c r="AA936" s="11">
        <v>13</v>
      </c>
      <c r="AB936" s="11">
        <v>199</v>
      </c>
      <c r="AC936" s="11">
        <v>-18.100000000000001</v>
      </c>
      <c r="AD936" s="11">
        <v>262</v>
      </c>
      <c r="AE936" s="11">
        <v>-12.8</v>
      </c>
      <c r="AF936" s="11">
        <v>282</v>
      </c>
      <c r="AG936" s="11">
        <v>-11.2</v>
      </c>
      <c r="AH936" s="11">
        <v>76</v>
      </c>
      <c r="AI936" s="11">
        <v>74</v>
      </c>
      <c r="AJ936" s="11">
        <v>20</v>
      </c>
      <c r="AK936" s="11" t="s">
        <v>66</v>
      </c>
      <c r="AL936" s="11">
        <v>4.0999999999999996</v>
      </c>
      <c r="AM936" s="10">
        <v>1.7</v>
      </c>
      <c r="AN936" s="9">
        <v>8</v>
      </c>
      <c r="AO936" s="8" t="s">
        <v>1183</v>
      </c>
      <c r="AP936" s="8">
        <v>840</v>
      </c>
      <c r="AQ936" s="8">
        <v>18.899999999999999</v>
      </c>
      <c r="AR936" s="8">
        <v>23.2</v>
      </c>
      <c r="AS936" s="8">
        <v>21.3</v>
      </c>
      <c r="AT936" s="8">
        <v>33</v>
      </c>
      <c r="AU936" s="8">
        <v>14.2</v>
      </c>
      <c r="AV936" s="8">
        <v>54</v>
      </c>
      <c r="AW936" s="8">
        <v>35</v>
      </c>
      <c r="AX936" s="8">
        <v>96</v>
      </c>
      <c r="AY936" s="8">
        <v>54</v>
      </c>
      <c r="AZ936" s="8" t="s">
        <v>43</v>
      </c>
      <c r="BA936" s="7">
        <v>0</v>
      </c>
      <c r="BB936" s="9">
        <v>11</v>
      </c>
      <c r="BC936" s="8" t="s">
        <v>1182</v>
      </c>
      <c r="BD936" s="8">
        <v>0.5</v>
      </c>
      <c r="BE936" s="8">
        <v>0.6</v>
      </c>
      <c r="BF936" s="8">
        <v>1.5</v>
      </c>
      <c r="BG936" s="8">
        <v>3</v>
      </c>
      <c r="BH936" s="8">
        <v>4.5</v>
      </c>
      <c r="BI936" s="8">
        <v>6.9</v>
      </c>
      <c r="BJ936" s="8">
        <v>8.4</v>
      </c>
      <c r="BK936" s="8">
        <v>7.5</v>
      </c>
      <c r="BL936" s="8">
        <v>4.9000000000000004</v>
      </c>
      <c r="BM936" s="8">
        <v>2.9</v>
      </c>
      <c r="BN936" s="8">
        <v>1.3</v>
      </c>
      <c r="BO936" s="8">
        <v>0.7</v>
      </c>
      <c r="BP936" s="7">
        <v>3.6</v>
      </c>
    </row>
    <row r="937" spans="1:68" ht="14.25" customHeight="1">
      <c r="A937" s="12">
        <v>280</v>
      </c>
      <c r="B937" s="14">
        <v>165</v>
      </c>
      <c r="C937" s="13" t="s">
        <v>30</v>
      </c>
      <c r="D937" s="13" t="s">
        <v>445</v>
      </c>
      <c r="E937" s="13" t="s">
        <v>1179</v>
      </c>
      <c r="F937" s="11">
        <v>0.3</v>
      </c>
      <c r="G937" s="11">
        <v>1.3</v>
      </c>
      <c r="H937" s="11">
        <v>4.2</v>
      </c>
      <c r="I937" s="11">
        <v>9.5</v>
      </c>
      <c r="J937" s="11">
        <v>14.2</v>
      </c>
      <c r="K937" s="11">
        <v>17.100000000000001</v>
      </c>
      <c r="L937" s="11">
        <v>19.5</v>
      </c>
      <c r="M937" s="11">
        <v>19.399999999999999</v>
      </c>
      <c r="N937" s="11">
        <v>15.6</v>
      </c>
      <c r="O937" s="11">
        <v>10.8</v>
      </c>
      <c r="P937" s="11">
        <v>6.9</v>
      </c>
      <c r="Q937" s="11">
        <v>2.2000000000000002</v>
      </c>
      <c r="R937" s="10">
        <v>10.1</v>
      </c>
      <c r="S937" s="12">
        <v>165</v>
      </c>
      <c r="T937" s="8" t="s">
        <v>1181</v>
      </c>
      <c r="U937" s="11">
        <v>-14</v>
      </c>
      <c r="V937" s="11">
        <v>-12</v>
      </c>
      <c r="W937" s="11">
        <v>-11</v>
      </c>
      <c r="X937" s="11">
        <v>-9</v>
      </c>
      <c r="Y937" s="11">
        <v>-4</v>
      </c>
      <c r="Z937" s="11">
        <v>-23</v>
      </c>
      <c r="AA937" s="11">
        <v>7.9</v>
      </c>
      <c r="AB937" s="11">
        <v>0</v>
      </c>
      <c r="AC937" s="11" t="s">
        <v>50</v>
      </c>
      <c r="AD937" s="11">
        <v>155</v>
      </c>
      <c r="AE937" s="11">
        <v>3</v>
      </c>
      <c r="AF937" s="11">
        <v>181</v>
      </c>
      <c r="AG937" s="11">
        <v>3.8</v>
      </c>
      <c r="AH937" s="11">
        <v>83</v>
      </c>
      <c r="AI937" s="11">
        <v>80</v>
      </c>
      <c r="AJ937" s="11">
        <v>998</v>
      </c>
      <c r="AK937" s="11" t="s">
        <v>56</v>
      </c>
      <c r="AL937" s="11" t="s">
        <v>44</v>
      </c>
      <c r="AM937" s="10">
        <v>1.4</v>
      </c>
      <c r="AN937" s="9">
        <v>165</v>
      </c>
      <c r="AO937" s="8" t="s">
        <v>1180</v>
      </c>
      <c r="AP937" s="8">
        <v>950</v>
      </c>
      <c r="AQ937" s="8">
        <v>23</v>
      </c>
      <c r="AR937" s="8">
        <v>28</v>
      </c>
      <c r="AS937" s="8">
        <v>25.7</v>
      </c>
      <c r="AT937" s="8">
        <v>38</v>
      </c>
      <c r="AU937" s="8">
        <v>11.6</v>
      </c>
      <c r="AV937" s="8">
        <v>79</v>
      </c>
      <c r="AW937" s="8">
        <v>61</v>
      </c>
      <c r="AX937" s="8">
        <v>956</v>
      </c>
      <c r="AY937" s="8">
        <v>188</v>
      </c>
      <c r="AZ937" s="8" t="s">
        <v>32</v>
      </c>
      <c r="BA937" s="7" t="s">
        <v>46</v>
      </c>
      <c r="BB937" s="9">
        <v>143</v>
      </c>
      <c r="BC937" s="8" t="s">
        <v>1179</v>
      </c>
      <c r="BD937" s="8">
        <v>5.4</v>
      </c>
      <c r="BE937" s="8">
        <v>5.5</v>
      </c>
      <c r="BF937" s="8">
        <v>6.2</v>
      </c>
      <c r="BG937" s="8">
        <v>8.3000000000000007</v>
      </c>
      <c r="BH937" s="8">
        <v>11.8</v>
      </c>
      <c r="BI937" s="8">
        <v>14.9</v>
      </c>
      <c r="BJ937" s="8">
        <v>17.7</v>
      </c>
      <c r="BK937" s="8">
        <v>17.5</v>
      </c>
      <c r="BL937" s="8">
        <v>14</v>
      </c>
      <c r="BM937" s="8">
        <v>10.4</v>
      </c>
      <c r="BN937" s="8">
        <v>7.8</v>
      </c>
      <c r="BO937" s="8">
        <v>6.2</v>
      </c>
      <c r="BP937" s="7">
        <v>10.5</v>
      </c>
    </row>
    <row r="938" spans="1:68" ht="14.25" customHeight="1">
      <c r="A938" s="12">
        <v>281</v>
      </c>
      <c r="B938" s="14">
        <v>164</v>
      </c>
      <c r="C938" s="13" t="s">
        <v>30</v>
      </c>
      <c r="D938" s="13" t="s">
        <v>445</v>
      </c>
      <c r="E938" s="13" t="s">
        <v>1176</v>
      </c>
      <c r="F938" s="11">
        <v>-1.6</v>
      </c>
      <c r="G938" s="11">
        <v>-0.6</v>
      </c>
      <c r="H938" s="11">
        <v>4.3</v>
      </c>
      <c r="I938" s="11">
        <v>11.3</v>
      </c>
      <c r="J938" s="11">
        <v>17</v>
      </c>
      <c r="K938" s="11">
        <v>20.7</v>
      </c>
      <c r="L938" s="11">
        <v>23.3</v>
      </c>
      <c r="M938" s="11">
        <v>22.7</v>
      </c>
      <c r="N938" s="11">
        <v>17.600000000000001</v>
      </c>
      <c r="O938" s="11">
        <v>11.4</v>
      </c>
      <c r="P938" s="11">
        <v>5.6</v>
      </c>
      <c r="Q938" s="11">
        <v>1.1000000000000001</v>
      </c>
      <c r="R938" s="10">
        <v>11.1</v>
      </c>
      <c r="S938" s="12">
        <v>164</v>
      </c>
      <c r="T938" s="8" t="s">
        <v>1178</v>
      </c>
      <c r="U938" s="11">
        <v>-27</v>
      </c>
      <c r="V938" s="11">
        <v>-23</v>
      </c>
      <c r="W938" s="11">
        <v>-23</v>
      </c>
      <c r="X938" s="11">
        <v>-19</v>
      </c>
      <c r="Y938" s="11">
        <v>-7</v>
      </c>
      <c r="Z938" s="11">
        <v>-36</v>
      </c>
      <c r="AA938" s="11">
        <v>8.1</v>
      </c>
      <c r="AB938" s="11">
        <v>49</v>
      </c>
      <c r="AC938" s="11">
        <v>-1.2</v>
      </c>
      <c r="AD938" s="11">
        <v>149</v>
      </c>
      <c r="AE938" s="11">
        <v>2</v>
      </c>
      <c r="AF938" s="11">
        <v>168</v>
      </c>
      <c r="AG938" s="11">
        <v>2.8</v>
      </c>
      <c r="AH938" s="11">
        <v>83</v>
      </c>
      <c r="AI938" s="11">
        <v>79</v>
      </c>
      <c r="AJ938" s="11">
        <v>293</v>
      </c>
      <c r="AK938" s="11" t="s">
        <v>66</v>
      </c>
      <c r="AL938" s="11">
        <v>3.2</v>
      </c>
      <c r="AM938" s="10">
        <v>2.9</v>
      </c>
      <c r="AN938" s="9">
        <v>164</v>
      </c>
      <c r="AO938" s="8" t="s">
        <v>1177</v>
      </c>
      <c r="AP938" s="8">
        <v>1010</v>
      </c>
      <c r="AQ938" s="8">
        <v>27.4</v>
      </c>
      <c r="AR938" s="8">
        <v>31.1</v>
      </c>
      <c r="AS938" s="8">
        <v>29.8</v>
      </c>
      <c r="AT938" s="8">
        <v>42</v>
      </c>
      <c r="AU938" s="8">
        <v>13.2</v>
      </c>
      <c r="AV938" s="8">
        <v>64</v>
      </c>
      <c r="AW938" s="8">
        <v>46</v>
      </c>
      <c r="AX938" s="8">
        <v>393</v>
      </c>
      <c r="AY938" s="8">
        <v>107</v>
      </c>
      <c r="AZ938" s="8" t="s">
        <v>37</v>
      </c>
      <c r="BA938" s="7">
        <v>0</v>
      </c>
      <c r="BB938" s="9">
        <v>144</v>
      </c>
      <c r="BC938" s="8" t="s">
        <v>1176</v>
      </c>
      <c r="BD938" s="8">
        <v>4.9000000000000004</v>
      </c>
      <c r="BE938" s="8">
        <v>5.3</v>
      </c>
      <c r="BF938" s="8">
        <v>6.2</v>
      </c>
      <c r="BG938" s="8">
        <v>9</v>
      </c>
      <c r="BH938" s="8">
        <v>12.9</v>
      </c>
      <c r="BI938" s="8">
        <v>16.100000000000001</v>
      </c>
      <c r="BJ938" s="8">
        <v>17.899999999999999</v>
      </c>
      <c r="BK938" s="8">
        <v>17.2</v>
      </c>
      <c r="BL938" s="8">
        <v>13.4</v>
      </c>
      <c r="BM938" s="8">
        <v>10.1</v>
      </c>
      <c r="BN938" s="8">
        <v>8</v>
      </c>
      <c r="BO938" s="8">
        <v>6.1</v>
      </c>
      <c r="BP938" s="7">
        <v>10.6</v>
      </c>
    </row>
    <row r="939" spans="1:68" ht="14.25" customHeight="1">
      <c r="A939" s="12">
        <v>282</v>
      </c>
      <c r="B939" s="14">
        <v>216</v>
      </c>
      <c r="C939" s="13" t="s">
        <v>30</v>
      </c>
      <c r="D939" s="13" t="s">
        <v>61</v>
      </c>
      <c r="E939" s="13" t="s">
        <v>1173</v>
      </c>
      <c r="F939" s="11">
        <v>-13.2</v>
      </c>
      <c r="G939" s="11">
        <v>-13.8</v>
      </c>
      <c r="H939" s="11">
        <v>-10.5</v>
      </c>
      <c r="I939" s="11">
        <v>-3.9</v>
      </c>
      <c r="J939" s="11">
        <v>2.4</v>
      </c>
      <c r="K939" s="11">
        <v>9.6999999999999993</v>
      </c>
      <c r="L939" s="11">
        <v>13.2</v>
      </c>
      <c r="M939" s="11">
        <v>11.1</v>
      </c>
      <c r="N939" s="11">
        <v>5.8</v>
      </c>
      <c r="O939" s="11">
        <v>-0.6</v>
      </c>
      <c r="P939" s="11">
        <v>-5.6</v>
      </c>
      <c r="Q939" s="11">
        <v>-9.8000000000000007</v>
      </c>
      <c r="R939" s="10">
        <v>-1.3</v>
      </c>
      <c r="S939" s="12">
        <v>216</v>
      </c>
      <c r="T939" s="8" t="s">
        <v>1175</v>
      </c>
      <c r="U939" s="11">
        <v>-41</v>
      </c>
      <c r="V939" s="11">
        <v>-37</v>
      </c>
      <c r="W939" s="11">
        <v>-35</v>
      </c>
      <c r="X939" s="11">
        <v>-32</v>
      </c>
      <c r="Y939" s="11">
        <v>-19</v>
      </c>
      <c r="Z939" s="11">
        <v>-49</v>
      </c>
      <c r="AA939" s="11">
        <v>9.1999999999999993</v>
      </c>
      <c r="AB939" s="11">
        <v>203</v>
      </c>
      <c r="AC939" s="11">
        <v>-8.4</v>
      </c>
      <c r="AD939" s="11">
        <v>279</v>
      </c>
      <c r="AE939" s="11">
        <v>-5</v>
      </c>
      <c r="AF939" s="11">
        <v>300</v>
      </c>
      <c r="AG939" s="11">
        <v>-4</v>
      </c>
      <c r="AH939" s="11">
        <v>85</v>
      </c>
      <c r="AI939" s="11">
        <v>85</v>
      </c>
      <c r="AJ939" s="11">
        <v>141</v>
      </c>
      <c r="AK939" s="11" t="s">
        <v>39</v>
      </c>
      <c r="AL939" s="11">
        <v>3</v>
      </c>
      <c r="AM939" s="10">
        <v>2.8</v>
      </c>
      <c r="AN939" s="9">
        <v>216</v>
      </c>
      <c r="AO939" s="8" t="s">
        <v>1174</v>
      </c>
      <c r="AP939" s="8">
        <v>995</v>
      </c>
      <c r="AQ939" s="8">
        <v>16.399999999999999</v>
      </c>
      <c r="AR939" s="8">
        <v>20.9</v>
      </c>
      <c r="AS939" s="8">
        <v>18.8</v>
      </c>
      <c r="AT939" s="8">
        <v>34</v>
      </c>
      <c r="AU939" s="8">
        <v>10.9</v>
      </c>
      <c r="AV939" s="8">
        <v>71</v>
      </c>
      <c r="AW939" s="8">
        <v>57</v>
      </c>
      <c r="AX939" s="8">
        <v>355</v>
      </c>
      <c r="AY939" s="8">
        <v>48</v>
      </c>
      <c r="AZ939" s="8" t="s">
        <v>37</v>
      </c>
      <c r="BA939" s="7">
        <v>0</v>
      </c>
      <c r="BB939" s="9">
        <v>191</v>
      </c>
      <c r="BC939" s="8" t="s">
        <v>1173</v>
      </c>
      <c r="BD939" s="8">
        <v>2.2999999999999998</v>
      </c>
      <c r="BE939" s="8">
        <v>2.1</v>
      </c>
      <c r="BF939" s="8">
        <v>2.7</v>
      </c>
      <c r="BG939" s="8">
        <v>3.8</v>
      </c>
      <c r="BH939" s="8">
        <v>5.3</v>
      </c>
      <c r="BI939" s="8">
        <v>8.1</v>
      </c>
      <c r="BJ939" s="8">
        <v>10.7</v>
      </c>
      <c r="BK939" s="8">
        <v>10.6</v>
      </c>
      <c r="BL939" s="8">
        <v>8.1</v>
      </c>
      <c r="BM939" s="8">
        <v>5.5</v>
      </c>
      <c r="BN939" s="8">
        <v>4</v>
      </c>
      <c r="BO939" s="8">
        <v>3</v>
      </c>
      <c r="BP939" s="7">
        <v>5.5</v>
      </c>
    </row>
    <row r="940" spans="1:68" ht="14.25" customHeight="1">
      <c r="A940" s="12">
        <v>283</v>
      </c>
      <c r="B940" s="14">
        <v>186</v>
      </c>
      <c r="C940" s="13" t="s">
        <v>30</v>
      </c>
      <c r="D940" s="13" t="s">
        <v>29</v>
      </c>
      <c r="E940" s="13" t="s">
        <v>1170</v>
      </c>
      <c r="F940" s="11">
        <v>-18.2</v>
      </c>
      <c r="G940" s="11">
        <v>-16.8</v>
      </c>
      <c r="H940" s="11">
        <v>-7.8</v>
      </c>
      <c r="I940" s="11">
        <v>2.6</v>
      </c>
      <c r="J940" s="11">
        <v>9.4</v>
      </c>
      <c r="K940" s="11">
        <v>16.600000000000001</v>
      </c>
      <c r="L940" s="11">
        <v>19.100000000000001</v>
      </c>
      <c r="M940" s="11">
        <v>15.7</v>
      </c>
      <c r="N940" s="11">
        <v>9.4</v>
      </c>
      <c r="O940" s="11">
        <v>1.5</v>
      </c>
      <c r="P940" s="11">
        <v>-8.8000000000000007</v>
      </c>
      <c r="Q940" s="11">
        <v>-16.3</v>
      </c>
      <c r="R940" s="10">
        <v>0.5</v>
      </c>
      <c r="S940" s="12">
        <v>186</v>
      </c>
      <c r="T940" s="8" t="s">
        <v>1172</v>
      </c>
      <c r="U940" s="11">
        <v>-48</v>
      </c>
      <c r="V940" s="11">
        <v>-44</v>
      </c>
      <c r="W940" s="11">
        <v>-43</v>
      </c>
      <c r="X940" s="11">
        <v>-40</v>
      </c>
      <c r="Y940" s="11">
        <v>-22</v>
      </c>
      <c r="Z940" s="11">
        <v>-53</v>
      </c>
      <c r="AA940" s="11">
        <v>8.4</v>
      </c>
      <c r="AB940" s="11">
        <v>172</v>
      </c>
      <c r="AC940" s="11">
        <v>-11.1</v>
      </c>
      <c r="AD940" s="11">
        <v>234</v>
      </c>
      <c r="AE940" s="11">
        <v>-7.1</v>
      </c>
      <c r="AF940" s="11">
        <v>252</v>
      </c>
      <c r="AG940" s="11">
        <v>-5.9</v>
      </c>
      <c r="AH940" s="11">
        <v>71</v>
      </c>
      <c r="AI940" s="11">
        <v>70</v>
      </c>
      <c r="AJ940" s="11">
        <v>85</v>
      </c>
      <c r="AK940" s="11" t="s">
        <v>48</v>
      </c>
      <c r="AL940" s="11">
        <v>6.2</v>
      </c>
      <c r="AM940" s="10">
        <v>3.8</v>
      </c>
      <c r="AN940" s="9">
        <v>186</v>
      </c>
      <c r="AO940" s="8" t="s">
        <v>1171</v>
      </c>
      <c r="AP940" s="8">
        <v>980</v>
      </c>
      <c r="AQ940" s="8">
        <v>22</v>
      </c>
      <c r="AR940" s="8">
        <v>26.2</v>
      </c>
      <c r="AS940" s="8">
        <v>24.3</v>
      </c>
      <c r="AT940" s="8">
        <v>36</v>
      </c>
      <c r="AU940" s="8">
        <v>11.1</v>
      </c>
      <c r="AV940" s="8">
        <v>70</v>
      </c>
      <c r="AW940" s="8">
        <v>58</v>
      </c>
      <c r="AX940" s="8">
        <v>369</v>
      </c>
      <c r="AY940" s="8">
        <v>97</v>
      </c>
      <c r="AZ940" s="8" t="s">
        <v>43</v>
      </c>
      <c r="BA940" s="7">
        <v>0</v>
      </c>
      <c r="BB940" s="9">
        <v>164</v>
      </c>
      <c r="BC940" s="8" t="s">
        <v>1170</v>
      </c>
      <c r="BD940" s="8">
        <v>1.4</v>
      </c>
      <c r="BE940" s="8">
        <v>1.5</v>
      </c>
      <c r="BF940" s="8">
        <v>2.6</v>
      </c>
      <c r="BG940" s="8">
        <v>4.5</v>
      </c>
      <c r="BH940" s="8">
        <v>6.5</v>
      </c>
      <c r="BI940" s="8">
        <v>11.4</v>
      </c>
      <c r="BJ940" s="8">
        <v>14.7</v>
      </c>
      <c r="BK940" s="8">
        <v>12.9</v>
      </c>
      <c r="BL940" s="8">
        <v>8.6999999999999993</v>
      </c>
      <c r="BM940" s="8">
        <v>4.9000000000000004</v>
      </c>
      <c r="BN940" s="8">
        <v>2.7</v>
      </c>
      <c r="BO940" s="8">
        <v>1.6</v>
      </c>
      <c r="BP940" s="7">
        <v>5.0999999999999996</v>
      </c>
    </row>
    <row r="941" spans="1:68" ht="14.25" customHeight="1">
      <c r="A941" s="12">
        <v>284</v>
      </c>
      <c r="B941" s="14">
        <v>382</v>
      </c>
      <c r="C941" s="13" t="s">
        <v>30</v>
      </c>
      <c r="D941" s="13" t="s">
        <v>162</v>
      </c>
      <c r="E941" s="13" t="s">
        <v>1167</v>
      </c>
      <c r="F941" s="11">
        <v>-26.2</v>
      </c>
      <c r="G941" s="11">
        <v>-22.4</v>
      </c>
      <c r="H941" s="11">
        <v>-11.4</v>
      </c>
      <c r="I941" s="11">
        <v>0.6</v>
      </c>
      <c r="J941" s="11">
        <v>8.3000000000000007</v>
      </c>
      <c r="K941" s="11">
        <v>14.7</v>
      </c>
      <c r="L941" s="11">
        <v>17.100000000000001</v>
      </c>
      <c r="M941" s="11">
        <v>14.3</v>
      </c>
      <c r="N941" s="11">
        <v>7.4</v>
      </c>
      <c r="O941" s="11">
        <v>-1.2</v>
      </c>
      <c r="P941" s="11">
        <v>-13.1</v>
      </c>
      <c r="Q941" s="11">
        <v>-22.8</v>
      </c>
      <c r="R941" s="10">
        <v>-2.9</v>
      </c>
      <c r="S941" s="12">
        <v>382</v>
      </c>
      <c r="T941" s="8" t="s">
        <v>1169</v>
      </c>
      <c r="U941" s="11">
        <v>-44</v>
      </c>
      <c r="V941" s="11">
        <v>-42</v>
      </c>
      <c r="W941" s="11">
        <v>-42</v>
      </c>
      <c r="X941" s="11">
        <v>-39</v>
      </c>
      <c r="Y941" s="11">
        <v>-31</v>
      </c>
      <c r="Z941" s="11">
        <v>-48</v>
      </c>
      <c r="AA941" s="11">
        <v>12.5</v>
      </c>
      <c r="AB941" s="11">
        <v>184</v>
      </c>
      <c r="AC941" s="11">
        <v>-15.8</v>
      </c>
      <c r="AD941" s="11">
        <v>244</v>
      </c>
      <c r="AE941" s="11">
        <v>-10.9</v>
      </c>
      <c r="AF941" s="11">
        <v>262</v>
      </c>
      <c r="AG941" s="11">
        <v>-9.5</v>
      </c>
      <c r="AH941" s="11">
        <v>78</v>
      </c>
      <c r="AI941" s="11">
        <v>74</v>
      </c>
      <c r="AJ941" s="11">
        <v>29</v>
      </c>
      <c r="AK941" s="11" t="s">
        <v>48</v>
      </c>
      <c r="AL941" s="11" t="s">
        <v>44</v>
      </c>
      <c r="AM941" s="10">
        <v>1.5</v>
      </c>
      <c r="AN941" s="9">
        <v>382</v>
      </c>
      <c r="AO941" s="8" t="s">
        <v>1168</v>
      </c>
      <c r="AP941" s="8">
        <v>920</v>
      </c>
      <c r="AQ941" s="8">
        <v>22.4</v>
      </c>
      <c r="AR941" s="8">
        <v>26.6</v>
      </c>
      <c r="AS941" s="8">
        <v>24.8</v>
      </c>
      <c r="AT941" s="8">
        <v>38</v>
      </c>
      <c r="AU941" s="8">
        <v>14.3</v>
      </c>
      <c r="AV941" s="8">
        <v>74</v>
      </c>
      <c r="AW941" s="8">
        <v>56</v>
      </c>
      <c r="AX941" s="8">
        <v>307</v>
      </c>
      <c r="AY941" s="8">
        <v>76</v>
      </c>
      <c r="AZ941" s="8" t="s">
        <v>54</v>
      </c>
      <c r="BA941" s="7" t="s">
        <v>46</v>
      </c>
      <c r="BB941" s="9">
        <v>346</v>
      </c>
      <c r="BC941" s="8" t="s">
        <v>1167</v>
      </c>
      <c r="BD941" s="8">
        <v>0.7</v>
      </c>
      <c r="BE941" s="8">
        <v>0.9</v>
      </c>
      <c r="BF941" s="8">
        <v>2</v>
      </c>
      <c r="BG941" s="8">
        <v>3.5</v>
      </c>
      <c r="BH941" s="8">
        <v>5.4</v>
      </c>
      <c r="BI941" s="8">
        <v>10.199999999999999</v>
      </c>
      <c r="BJ941" s="8">
        <v>14.2</v>
      </c>
      <c r="BK941" s="8">
        <v>12.7</v>
      </c>
      <c r="BL941" s="8">
        <v>7.4</v>
      </c>
      <c r="BM941" s="8">
        <v>3.9</v>
      </c>
      <c r="BN941" s="8">
        <v>1.9</v>
      </c>
      <c r="BO941" s="8">
        <v>0.9</v>
      </c>
      <c r="BP941" s="7">
        <v>5.3</v>
      </c>
    </row>
    <row r="942" spans="1:68" ht="14.25" customHeight="1">
      <c r="A942" s="12">
        <v>285</v>
      </c>
      <c r="B942" s="14">
        <v>262</v>
      </c>
      <c r="C942" s="13" t="s">
        <v>30</v>
      </c>
      <c r="D942" s="13" t="s">
        <v>154</v>
      </c>
      <c r="E942" s="13" t="s">
        <v>1164</v>
      </c>
      <c r="F942" s="11">
        <v>-23.4</v>
      </c>
      <c r="G942" s="11">
        <v>-19.100000000000001</v>
      </c>
      <c r="H942" s="11">
        <v>-8.1999999999999993</v>
      </c>
      <c r="I942" s="11">
        <v>3.1</v>
      </c>
      <c r="J942" s="11">
        <v>10.7</v>
      </c>
      <c r="K942" s="11">
        <v>16.399999999999999</v>
      </c>
      <c r="L942" s="11">
        <v>20.399999999999999</v>
      </c>
      <c r="M942" s="11">
        <v>19.100000000000001</v>
      </c>
      <c r="N942" s="11">
        <v>12.1</v>
      </c>
      <c r="O942" s="11">
        <v>3.1</v>
      </c>
      <c r="P942" s="11">
        <v>-8.9</v>
      </c>
      <c r="Q942" s="11">
        <v>-19.899999999999999</v>
      </c>
      <c r="R942" s="10">
        <v>0.5</v>
      </c>
      <c r="S942" s="12">
        <v>262</v>
      </c>
      <c r="T942" s="8" t="s">
        <v>1166</v>
      </c>
      <c r="U942" s="11">
        <v>-39</v>
      </c>
      <c r="V942" s="11">
        <v>-36</v>
      </c>
      <c r="W942" s="11">
        <v>-35</v>
      </c>
      <c r="X942" s="11">
        <v>-34</v>
      </c>
      <c r="Y942" s="11">
        <v>-25</v>
      </c>
      <c r="Z942" s="11">
        <v>-47</v>
      </c>
      <c r="AA942" s="11">
        <v>17.100000000000001</v>
      </c>
      <c r="AB942" s="11">
        <v>164</v>
      </c>
      <c r="AC942" s="11">
        <v>-14.7</v>
      </c>
      <c r="AD942" s="11">
        <v>217</v>
      </c>
      <c r="AE942" s="11">
        <v>-10</v>
      </c>
      <c r="AF942" s="11">
        <v>234</v>
      </c>
      <c r="AG942" s="11">
        <v>-8.6</v>
      </c>
      <c r="AH942" s="11">
        <v>75</v>
      </c>
      <c r="AI942" s="11">
        <v>66</v>
      </c>
      <c r="AJ942" s="11">
        <v>129</v>
      </c>
      <c r="AK942" s="11" t="s">
        <v>39</v>
      </c>
      <c r="AL942" s="11" t="s">
        <v>44</v>
      </c>
      <c r="AM942" s="10">
        <v>1.4</v>
      </c>
      <c r="AN942" s="9">
        <v>262</v>
      </c>
      <c r="AO942" s="8" t="s">
        <v>1165</v>
      </c>
      <c r="AP942" s="8">
        <v>1000</v>
      </c>
      <c r="AQ942" s="8">
        <v>25</v>
      </c>
      <c r="AR942" s="8">
        <v>30</v>
      </c>
      <c r="AS942" s="8">
        <v>27.4</v>
      </c>
      <c r="AT942" s="8">
        <v>38</v>
      </c>
      <c r="AU942" s="8">
        <v>12.5</v>
      </c>
      <c r="AV942" s="8">
        <v>81</v>
      </c>
      <c r="AW942" s="8">
        <v>71</v>
      </c>
      <c r="AX942" s="8">
        <v>760</v>
      </c>
      <c r="AY942" s="8">
        <v>141</v>
      </c>
      <c r="AZ942" s="8" t="s">
        <v>37</v>
      </c>
      <c r="BA942" s="7" t="s">
        <v>46</v>
      </c>
      <c r="BB942" s="9">
        <v>233</v>
      </c>
      <c r="BC942" s="8" t="s">
        <v>1164</v>
      </c>
      <c r="BD942" s="8">
        <v>0.9</v>
      </c>
      <c r="BE942" s="8">
        <v>1.1000000000000001</v>
      </c>
      <c r="BF942" s="8">
        <v>2.2999999999999998</v>
      </c>
      <c r="BG942" s="8">
        <v>4.5999999999999996</v>
      </c>
      <c r="BH942" s="8">
        <v>8.1</v>
      </c>
      <c r="BI942" s="8">
        <v>14.2</v>
      </c>
      <c r="BJ942" s="8">
        <v>19.399999999999999</v>
      </c>
      <c r="BK942" s="8">
        <v>18.8</v>
      </c>
      <c r="BL942" s="8">
        <v>11.7</v>
      </c>
      <c r="BM942" s="8">
        <v>5.7</v>
      </c>
      <c r="BN942" s="8">
        <v>2.5</v>
      </c>
      <c r="BO942" s="8">
        <v>1.2</v>
      </c>
      <c r="BP942" s="7">
        <v>7.5</v>
      </c>
    </row>
    <row r="943" spans="1:68" ht="14.25" customHeight="1">
      <c r="A943" s="12">
        <v>286</v>
      </c>
      <c r="B943" s="14">
        <v>480</v>
      </c>
      <c r="C943" s="13" t="s">
        <v>105</v>
      </c>
      <c r="D943" s="13" t="s">
        <v>105</v>
      </c>
      <c r="E943" s="13" t="s">
        <v>1163</v>
      </c>
      <c r="F943" s="11">
        <v>-10.5</v>
      </c>
      <c r="G943" s="11">
        <v>-10</v>
      </c>
      <c r="H943" s="11">
        <v>-6.9</v>
      </c>
      <c r="I943" s="11">
        <v>-1</v>
      </c>
      <c r="J943" s="11">
        <v>3.4</v>
      </c>
      <c r="K943" s="11">
        <v>7.2</v>
      </c>
      <c r="L943" s="11">
        <v>10.6</v>
      </c>
      <c r="M943" s="11">
        <v>10</v>
      </c>
      <c r="N943" s="11">
        <v>6.7</v>
      </c>
      <c r="O943" s="11">
        <v>1.4</v>
      </c>
      <c r="P943" s="11">
        <v>-3.1</v>
      </c>
      <c r="Q943" s="11">
        <v>-8</v>
      </c>
      <c r="R943" s="10">
        <v>0</v>
      </c>
      <c r="S943" s="12">
        <v>480</v>
      </c>
      <c r="T943" s="8" t="s">
        <v>1161</v>
      </c>
      <c r="U943" s="11">
        <v>-17</v>
      </c>
      <c r="V943" s="11">
        <v>-15</v>
      </c>
      <c r="W943" s="11">
        <v>-15</v>
      </c>
      <c r="X943" s="11">
        <v>-13</v>
      </c>
      <c r="Y943" s="11">
        <v>-3</v>
      </c>
      <c r="Z943" s="11">
        <v>-38</v>
      </c>
      <c r="AA943" s="11">
        <v>8.4</v>
      </c>
      <c r="AB943" s="11">
        <v>180</v>
      </c>
      <c r="AC943" s="11">
        <v>-6.7</v>
      </c>
      <c r="AD943" s="11">
        <v>291</v>
      </c>
      <c r="AE943" s="11">
        <v>-1.9</v>
      </c>
      <c r="AF943" s="11">
        <v>326</v>
      </c>
      <c r="AG943" s="11">
        <v>-1.3</v>
      </c>
      <c r="AH943" s="11" t="s">
        <v>49</v>
      </c>
      <c r="AI943" s="11">
        <v>77</v>
      </c>
      <c r="AJ943" s="11">
        <v>508</v>
      </c>
      <c r="AK943" s="11" t="s">
        <v>199</v>
      </c>
      <c r="AL943" s="11" t="s">
        <v>44</v>
      </c>
      <c r="AM943" s="10">
        <v>4.2</v>
      </c>
      <c r="AN943" s="9">
        <v>480</v>
      </c>
      <c r="AO943" s="8" t="s">
        <v>1162</v>
      </c>
      <c r="AP943" s="8">
        <v>760</v>
      </c>
      <c r="AQ943" s="8">
        <v>14</v>
      </c>
      <c r="AR943" s="8">
        <v>20</v>
      </c>
      <c r="AS943" s="8">
        <v>15.4</v>
      </c>
      <c r="AT943" s="8">
        <v>25</v>
      </c>
      <c r="AU943" s="8">
        <v>8.1</v>
      </c>
      <c r="AV943" s="8">
        <v>85</v>
      </c>
      <c r="AW943" s="8">
        <v>77</v>
      </c>
      <c r="AX943" s="8" t="s">
        <v>44</v>
      </c>
      <c r="AY943" s="8">
        <v>117</v>
      </c>
      <c r="AZ943" s="8" t="s">
        <v>37</v>
      </c>
      <c r="BA943" s="7">
        <v>0.8</v>
      </c>
      <c r="BB943" s="9"/>
      <c r="BC943" s="8" t="s">
        <v>1161</v>
      </c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7"/>
    </row>
    <row r="944" spans="1:68" ht="14.25" customHeight="1">
      <c r="A944" s="12">
        <v>287</v>
      </c>
      <c r="B944" s="14">
        <v>419</v>
      </c>
      <c r="C944" s="13" t="s">
        <v>30</v>
      </c>
      <c r="D944" s="13" t="s">
        <v>57</v>
      </c>
      <c r="E944" s="13" t="s">
        <v>1159</v>
      </c>
      <c r="F944" s="11">
        <v>-45.1</v>
      </c>
      <c r="G944" s="11">
        <v>-39</v>
      </c>
      <c r="H944" s="11">
        <v>-23.3</v>
      </c>
      <c r="I944" s="11">
        <v>-7.1</v>
      </c>
      <c r="J944" s="11">
        <v>6.2</v>
      </c>
      <c r="K944" s="11">
        <v>14.9</v>
      </c>
      <c r="L944" s="11">
        <v>18.2</v>
      </c>
      <c r="M944" s="11">
        <v>14.7</v>
      </c>
      <c r="N944" s="11">
        <v>5.8</v>
      </c>
      <c r="O944" s="11">
        <v>-9</v>
      </c>
      <c r="P944" s="11">
        <v>-30.9</v>
      </c>
      <c r="Q944" s="11">
        <v>-42.5</v>
      </c>
      <c r="R944" s="10">
        <v>-11.4</v>
      </c>
      <c r="S944" s="12">
        <v>419</v>
      </c>
      <c r="T944" s="8" t="s">
        <v>1159</v>
      </c>
      <c r="U944" s="11">
        <v>-59</v>
      </c>
      <c r="V944" s="11">
        <v>-58</v>
      </c>
      <c r="W944" s="11">
        <v>-56</v>
      </c>
      <c r="X944" s="11">
        <v>-55</v>
      </c>
      <c r="Y944" s="11">
        <v>-50</v>
      </c>
      <c r="Z944" s="11">
        <v>-62</v>
      </c>
      <c r="AA944" s="11">
        <v>7.2</v>
      </c>
      <c r="AB944" s="11">
        <v>216</v>
      </c>
      <c r="AC944" s="11">
        <v>-27</v>
      </c>
      <c r="AD944" s="11">
        <v>256</v>
      </c>
      <c r="AE944" s="11">
        <v>-22.1</v>
      </c>
      <c r="AF944" s="11">
        <v>270</v>
      </c>
      <c r="AG944" s="11">
        <v>-20.5</v>
      </c>
      <c r="AH944" s="11">
        <v>72</v>
      </c>
      <c r="AI944" s="11">
        <v>72</v>
      </c>
      <c r="AJ944" s="11">
        <v>43</v>
      </c>
      <c r="AK944" s="11" t="s">
        <v>48</v>
      </c>
      <c r="AL944" s="11" t="s">
        <v>44</v>
      </c>
      <c r="AM944" s="10">
        <v>1</v>
      </c>
      <c r="AN944" s="9">
        <v>419</v>
      </c>
      <c r="AO944" s="8" t="s">
        <v>1160</v>
      </c>
      <c r="AP944" s="8">
        <v>995</v>
      </c>
      <c r="AQ944" s="8">
        <v>22.2</v>
      </c>
      <c r="AR944" s="8">
        <v>26.4</v>
      </c>
      <c r="AS944" s="8">
        <v>24.6</v>
      </c>
      <c r="AT944" s="8">
        <v>38</v>
      </c>
      <c r="AU944" s="8">
        <v>13.1</v>
      </c>
      <c r="AV944" s="8">
        <v>64</v>
      </c>
      <c r="AW944" s="8">
        <v>49</v>
      </c>
      <c r="AX944" s="8">
        <v>228</v>
      </c>
      <c r="AY944" s="8">
        <v>53</v>
      </c>
      <c r="AZ944" s="8" t="s">
        <v>43</v>
      </c>
      <c r="BA944" s="7" t="s">
        <v>46</v>
      </c>
      <c r="BB944" s="9">
        <v>383</v>
      </c>
      <c r="BC944" s="8" t="s">
        <v>1159</v>
      </c>
      <c r="BD944" s="8">
        <v>0.1</v>
      </c>
      <c r="BE944" s="8">
        <v>0.2</v>
      </c>
      <c r="BF944" s="8">
        <v>0.8</v>
      </c>
      <c r="BG944" s="8">
        <v>2.2000000000000002</v>
      </c>
      <c r="BH944" s="8">
        <v>4.9000000000000004</v>
      </c>
      <c r="BI944" s="8">
        <v>9.6999999999999993</v>
      </c>
      <c r="BJ944" s="8">
        <v>12.9</v>
      </c>
      <c r="BK944" s="8">
        <v>11.5</v>
      </c>
      <c r="BL944" s="8">
        <v>6.8</v>
      </c>
      <c r="BM944" s="8">
        <v>2.9</v>
      </c>
      <c r="BN944" s="8">
        <v>0.5</v>
      </c>
      <c r="BO944" s="8">
        <v>0.2</v>
      </c>
      <c r="BP944" s="7">
        <v>4.4000000000000004</v>
      </c>
    </row>
    <row r="945" spans="1:68" ht="14.25" customHeight="1">
      <c r="A945" s="12">
        <v>288</v>
      </c>
      <c r="B945" s="14">
        <v>612</v>
      </c>
      <c r="C945" s="13" t="s">
        <v>52</v>
      </c>
      <c r="D945" s="13" t="s">
        <v>1158</v>
      </c>
      <c r="E945" s="13" t="s">
        <v>1156</v>
      </c>
      <c r="F945" s="11">
        <v>-5</v>
      </c>
      <c r="G945" s="11">
        <v>-3.6</v>
      </c>
      <c r="H945" s="11">
        <v>1.3</v>
      </c>
      <c r="I945" s="11">
        <v>9.5</v>
      </c>
      <c r="J945" s="11">
        <v>15.9</v>
      </c>
      <c r="K945" s="11">
        <v>19.5</v>
      </c>
      <c r="L945" s="11">
        <v>21.1</v>
      </c>
      <c r="M945" s="11">
        <v>20.5</v>
      </c>
      <c r="N945" s="11">
        <v>15.6</v>
      </c>
      <c r="O945" s="11">
        <v>8.8000000000000007</v>
      </c>
      <c r="P945" s="11">
        <v>3</v>
      </c>
      <c r="Q945" s="11">
        <v>-1.6</v>
      </c>
      <c r="R945" s="10">
        <v>8.8000000000000007</v>
      </c>
      <c r="S945" s="12">
        <v>601</v>
      </c>
      <c r="T945" s="8" t="s">
        <v>1156</v>
      </c>
      <c r="U945" s="11">
        <v>-21</v>
      </c>
      <c r="V945" s="11">
        <v>-18</v>
      </c>
      <c r="W945" s="11">
        <v>-18</v>
      </c>
      <c r="X945" s="11">
        <v>-17</v>
      </c>
      <c r="Y945" s="11">
        <v>-7</v>
      </c>
      <c r="Z945" s="11">
        <v>-28</v>
      </c>
      <c r="AA945" s="11" t="s">
        <v>49</v>
      </c>
      <c r="AB945" s="11">
        <v>95</v>
      </c>
      <c r="AC945" s="11">
        <v>-3.3</v>
      </c>
      <c r="AD945" s="11">
        <v>170</v>
      </c>
      <c r="AE945" s="11">
        <v>-0.2</v>
      </c>
      <c r="AF945" s="11">
        <v>186</v>
      </c>
      <c r="AG945" s="11">
        <v>0.6</v>
      </c>
      <c r="AH945" s="11" t="s">
        <v>49</v>
      </c>
      <c r="AI945" s="11" t="s">
        <v>49</v>
      </c>
      <c r="AJ945" s="11">
        <v>177</v>
      </c>
      <c r="AK945" s="11" t="s">
        <v>66</v>
      </c>
      <c r="AL945" s="11" t="s">
        <v>44</v>
      </c>
      <c r="AM945" s="10" t="s">
        <v>44</v>
      </c>
      <c r="AN945" s="9">
        <v>602</v>
      </c>
      <c r="AO945" s="8" t="s">
        <v>1157</v>
      </c>
      <c r="AP945" s="8" t="s">
        <v>64</v>
      </c>
      <c r="AQ945" s="8">
        <v>31</v>
      </c>
      <c r="AR945" s="8">
        <v>26</v>
      </c>
      <c r="AS945" s="8">
        <v>27.2</v>
      </c>
      <c r="AT945" s="8">
        <v>38</v>
      </c>
      <c r="AU945" s="8" t="s">
        <v>46</v>
      </c>
      <c r="AV945" s="8" t="s">
        <v>45</v>
      </c>
      <c r="AW945" s="8" t="s">
        <v>44</v>
      </c>
      <c r="AX945" s="8" t="s">
        <v>44</v>
      </c>
      <c r="AY945" s="8">
        <v>75</v>
      </c>
      <c r="AZ945" s="8" t="s">
        <v>32</v>
      </c>
      <c r="BA945" s="7">
        <v>2.6</v>
      </c>
      <c r="BB945" s="9"/>
      <c r="BC945" s="8" t="s">
        <v>1156</v>
      </c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7"/>
    </row>
    <row r="946" spans="1:68" ht="14.25" customHeight="1">
      <c r="A946" s="12">
        <v>289</v>
      </c>
      <c r="B946" s="14">
        <v>125</v>
      </c>
      <c r="C946" s="13" t="s">
        <v>30</v>
      </c>
      <c r="D946" s="13" t="s">
        <v>293</v>
      </c>
      <c r="E946" s="13" t="s">
        <v>1153</v>
      </c>
      <c r="F946" s="11">
        <v>-8.5</v>
      </c>
      <c r="G946" s="11">
        <v>-8.1999999999999993</v>
      </c>
      <c r="H946" s="11">
        <v>-6.2</v>
      </c>
      <c r="I946" s="11">
        <v>-1.6</v>
      </c>
      <c r="J946" s="11">
        <v>2.6</v>
      </c>
      <c r="K946" s="11">
        <v>6.6</v>
      </c>
      <c r="L946" s="11">
        <v>10.7</v>
      </c>
      <c r="M946" s="11">
        <v>11.7</v>
      </c>
      <c r="N946" s="11">
        <v>8.6</v>
      </c>
      <c r="O946" s="11">
        <v>2.8</v>
      </c>
      <c r="P946" s="11">
        <v>-3.3</v>
      </c>
      <c r="Q946" s="11">
        <v>-7.4</v>
      </c>
      <c r="R946" s="10">
        <v>0.6</v>
      </c>
      <c r="S946" s="12">
        <v>125</v>
      </c>
      <c r="T946" s="8" t="s">
        <v>1155</v>
      </c>
      <c r="U946" s="11">
        <v>-26</v>
      </c>
      <c r="V946" s="11">
        <v>-22</v>
      </c>
      <c r="W946" s="11">
        <v>-23</v>
      </c>
      <c r="X946" s="11">
        <v>-20</v>
      </c>
      <c r="Y946" s="11">
        <v>-13</v>
      </c>
      <c r="Z946" s="11">
        <v>-36</v>
      </c>
      <c r="AA946" s="11">
        <v>7.3</v>
      </c>
      <c r="AB946" s="11">
        <v>179</v>
      </c>
      <c r="AC946" s="11">
        <v>-5.7</v>
      </c>
      <c r="AD946" s="11">
        <v>280</v>
      </c>
      <c r="AE946" s="11">
        <v>-2.2000000000000002</v>
      </c>
      <c r="AF946" s="11">
        <v>312</v>
      </c>
      <c r="AG946" s="11">
        <v>-1.1000000000000001</v>
      </c>
      <c r="AH946" s="11">
        <v>69</v>
      </c>
      <c r="AI946" s="11">
        <v>64</v>
      </c>
      <c r="AJ946" s="11">
        <v>865</v>
      </c>
      <c r="AK946" s="11" t="s">
        <v>56</v>
      </c>
      <c r="AL946" s="11" t="s">
        <v>44</v>
      </c>
      <c r="AM946" s="10" t="s">
        <v>44</v>
      </c>
      <c r="AN946" s="9">
        <v>125</v>
      </c>
      <c r="AO946" s="8" t="s">
        <v>1154</v>
      </c>
      <c r="AP946" s="8">
        <v>1010</v>
      </c>
      <c r="AQ946" s="8">
        <v>13</v>
      </c>
      <c r="AR946" s="8">
        <v>17.600000000000001</v>
      </c>
      <c r="AS946" s="8">
        <v>15.4</v>
      </c>
      <c r="AT946" s="8">
        <v>28</v>
      </c>
      <c r="AU946" s="8">
        <v>7.5</v>
      </c>
      <c r="AV946" s="8">
        <v>88</v>
      </c>
      <c r="AW946" s="8">
        <v>81</v>
      </c>
      <c r="AX946" s="8">
        <v>548</v>
      </c>
      <c r="AY946" s="8" t="s">
        <v>64</v>
      </c>
      <c r="AZ946" s="8" t="s">
        <v>32</v>
      </c>
      <c r="BA946" s="7" t="s">
        <v>46</v>
      </c>
      <c r="BB946" s="9"/>
      <c r="BC946" s="8" t="s">
        <v>1153</v>
      </c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7"/>
    </row>
    <row r="947" spans="1:68" ht="14.25" customHeight="1">
      <c r="A947" s="12">
        <v>290</v>
      </c>
      <c r="B947" s="14">
        <v>245</v>
      </c>
      <c r="C947" s="13" t="s">
        <v>30</v>
      </c>
      <c r="D947" s="13" t="s">
        <v>603</v>
      </c>
      <c r="E947" s="13" t="s">
        <v>1150</v>
      </c>
      <c r="F947" s="11">
        <v>-15.4</v>
      </c>
      <c r="G947" s="11">
        <v>-14.5</v>
      </c>
      <c r="H947" s="11">
        <v>-7.3</v>
      </c>
      <c r="I947" s="11">
        <v>4.9000000000000004</v>
      </c>
      <c r="J947" s="11">
        <v>14.2</v>
      </c>
      <c r="K947" s="11">
        <v>18.600000000000001</v>
      </c>
      <c r="L947" s="11">
        <v>20.6</v>
      </c>
      <c r="M947" s="11">
        <v>18.8</v>
      </c>
      <c r="N947" s="11">
        <v>12.7</v>
      </c>
      <c r="O947" s="11">
        <v>3.9</v>
      </c>
      <c r="P947" s="11">
        <v>-4.7</v>
      </c>
      <c r="Q947" s="11">
        <v>-11.9</v>
      </c>
      <c r="R947" s="10">
        <v>3.3</v>
      </c>
      <c r="S947" s="12">
        <v>245</v>
      </c>
      <c r="T947" s="8" t="s">
        <v>1152</v>
      </c>
      <c r="U947" s="11">
        <v>-41</v>
      </c>
      <c r="V947" s="11">
        <v>-38</v>
      </c>
      <c r="W947" s="11">
        <v>-34</v>
      </c>
      <c r="X947" s="11">
        <v>-30</v>
      </c>
      <c r="Y947" s="11">
        <v>-20</v>
      </c>
      <c r="Z947" s="11">
        <v>-44</v>
      </c>
      <c r="AA947" s="11">
        <v>8.1</v>
      </c>
      <c r="AB947" s="11">
        <v>153</v>
      </c>
      <c r="AC947" s="11">
        <v>-10.6</v>
      </c>
      <c r="AD947" s="11">
        <v>204</v>
      </c>
      <c r="AE947" s="11">
        <v>-6.9</v>
      </c>
      <c r="AF947" s="11">
        <v>217</v>
      </c>
      <c r="AG947" s="11">
        <v>-6</v>
      </c>
      <c r="AH947" s="11">
        <v>76</v>
      </c>
      <c r="AI947" s="11">
        <v>74</v>
      </c>
      <c r="AJ947" s="11">
        <v>169</v>
      </c>
      <c r="AK947" s="11" t="s">
        <v>48</v>
      </c>
      <c r="AL947" s="11">
        <v>5.7</v>
      </c>
      <c r="AM947" s="10">
        <v>4.0999999999999996</v>
      </c>
      <c r="AN947" s="9">
        <v>245</v>
      </c>
      <c r="AO947" s="8" t="s">
        <v>1151</v>
      </c>
      <c r="AP947" s="8">
        <v>1000</v>
      </c>
      <c r="AQ947" s="8">
        <v>27</v>
      </c>
      <c r="AR947" s="8">
        <v>32</v>
      </c>
      <c r="AS947" s="8">
        <v>27.5</v>
      </c>
      <c r="AT947" s="8">
        <v>42</v>
      </c>
      <c r="AU947" s="8">
        <v>13.7</v>
      </c>
      <c r="AV947" s="8">
        <v>60</v>
      </c>
      <c r="AW947" s="8">
        <v>41</v>
      </c>
      <c r="AX947" s="8">
        <v>301</v>
      </c>
      <c r="AY947" s="8" t="s">
        <v>64</v>
      </c>
      <c r="AZ947" s="8" t="s">
        <v>43</v>
      </c>
      <c r="BA947" s="7">
        <v>0</v>
      </c>
      <c r="BB947" s="9">
        <v>216</v>
      </c>
      <c r="BC947" s="8" t="s">
        <v>1150</v>
      </c>
      <c r="BD947" s="8">
        <v>1.7</v>
      </c>
      <c r="BE947" s="8">
        <v>1.8</v>
      </c>
      <c r="BF947" s="8">
        <v>3.2</v>
      </c>
      <c r="BG947" s="8">
        <v>5.8</v>
      </c>
      <c r="BH947" s="8">
        <v>8.5</v>
      </c>
      <c r="BI947" s="8">
        <v>11.9</v>
      </c>
      <c r="BJ947" s="8">
        <v>14</v>
      </c>
      <c r="BK947" s="8">
        <v>12.1</v>
      </c>
      <c r="BL947" s="8">
        <v>8.6</v>
      </c>
      <c r="BM947" s="8">
        <v>5.7</v>
      </c>
      <c r="BN947" s="8">
        <v>3.8</v>
      </c>
      <c r="BO947" s="8">
        <v>2.5</v>
      </c>
      <c r="BP947" s="7">
        <v>6.6</v>
      </c>
    </row>
    <row r="948" spans="1:68" ht="14.25" customHeight="1">
      <c r="A948" s="12">
        <v>291</v>
      </c>
      <c r="B948" s="14">
        <v>579</v>
      </c>
      <c r="C948" s="13" t="s">
        <v>135</v>
      </c>
      <c r="D948" s="13" t="s">
        <v>134</v>
      </c>
      <c r="E948" s="13" t="s">
        <v>1148</v>
      </c>
      <c r="F948" s="11">
        <v>2.2999999999999998</v>
      </c>
      <c r="G948" s="11">
        <v>5.4</v>
      </c>
      <c r="H948" s="11">
        <v>10.4</v>
      </c>
      <c r="I948" s="11">
        <v>16.7</v>
      </c>
      <c r="J948" s="11">
        <v>21.5</v>
      </c>
      <c r="K948" s="11">
        <v>27.2</v>
      </c>
      <c r="L948" s="11">
        <v>30.2</v>
      </c>
      <c r="M948" s="11">
        <v>28.5</v>
      </c>
      <c r="N948" s="11">
        <v>23.4</v>
      </c>
      <c r="O948" s="11">
        <v>16.899999999999999</v>
      </c>
      <c r="P948" s="11">
        <v>10</v>
      </c>
      <c r="Q948" s="11">
        <v>4.8</v>
      </c>
      <c r="R948" s="10">
        <v>16.399999999999999</v>
      </c>
      <c r="S948" s="15"/>
      <c r="T948" s="8" t="s">
        <v>1149</v>
      </c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7"/>
      <c r="AN948" s="9"/>
      <c r="AO948" s="8" t="s">
        <v>1149</v>
      </c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7"/>
      <c r="BB948" s="9"/>
      <c r="BC948" s="8" t="s">
        <v>1148</v>
      </c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7"/>
    </row>
    <row r="949" spans="1:68" ht="14.25" customHeight="1">
      <c r="A949" s="12">
        <v>292</v>
      </c>
      <c r="B949" s="14">
        <v>236</v>
      </c>
      <c r="C949" s="13" t="s">
        <v>30</v>
      </c>
      <c r="D949" s="13" t="s">
        <v>149</v>
      </c>
      <c r="E949" s="13" t="s">
        <v>1145</v>
      </c>
      <c r="F949" s="11">
        <v>-19.600000000000001</v>
      </c>
      <c r="G949" s="11">
        <v>-18.600000000000001</v>
      </c>
      <c r="H949" s="11">
        <v>-11.7</v>
      </c>
      <c r="I949" s="11">
        <v>1.3</v>
      </c>
      <c r="J949" s="11">
        <v>11.2</v>
      </c>
      <c r="K949" s="11">
        <v>17.399999999999999</v>
      </c>
      <c r="L949" s="11">
        <v>19.5</v>
      </c>
      <c r="M949" s="11">
        <v>16.3</v>
      </c>
      <c r="N949" s="11">
        <v>10.5</v>
      </c>
      <c r="O949" s="11">
        <v>1.9</v>
      </c>
      <c r="P949" s="11">
        <v>-8.6</v>
      </c>
      <c r="Q949" s="11">
        <v>-16.7</v>
      </c>
      <c r="R949" s="10">
        <v>0.2</v>
      </c>
      <c r="S949" s="12">
        <v>236</v>
      </c>
      <c r="T949" s="8" t="s">
        <v>1147</v>
      </c>
      <c r="U949" s="11">
        <v>-42</v>
      </c>
      <c r="V949" s="11">
        <v>-41</v>
      </c>
      <c r="W949" s="11">
        <v>-41</v>
      </c>
      <c r="X949" s="11">
        <v>-38</v>
      </c>
      <c r="Y949" s="11">
        <v>-25</v>
      </c>
      <c r="Z949" s="11">
        <v>-49</v>
      </c>
      <c r="AA949" s="11">
        <v>9</v>
      </c>
      <c r="AB949" s="11">
        <v>173</v>
      </c>
      <c r="AC949" s="11">
        <v>-12.9</v>
      </c>
      <c r="AD949" s="11">
        <v>224</v>
      </c>
      <c r="AE949" s="11">
        <v>-9</v>
      </c>
      <c r="AF949" s="11">
        <v>237</v>
      </c>
      <c r="AG949" s="11">
        <v>-8</v>
      </c>
      <c r="AH949" s="11">
        <v>80</v>
      </c>
      <c r="AI949" s="11">
        <v>79</v>
      </c>
      <c r="AJ949" s="11">
        <v>59</v>
      </c>
      <c r="AK949" s="11" t="s">
        <v>39</v>
      </c>
      <c r="AL949" s="11">
        <v>6.7</v>
      </c>
      <c r="AM949" s="10">
        <v>5.7</v>
      </c>
      <c r="AN949" s="9">
        <v>236</v>
      </c>
      <c r="AO949" s="8" t="s">
        <v>1146</v>
      </c>
      <c r="AP949" s="8">
        <v>995</v>
      </c>
      <c r="AQ949" s="8">
        <v>23.4</v>
      </c>
      <c r="AR949" s="8">
        <v>27.5</v>
      </c>
      <c r="AS949" s="8">
        <v>25.8</v>
      </c>
      <c r="AT949" s="8">
        <v>40</v>
      </c>
      <c r="AU949" s="8">
        <v>12.5</v>
      </c>
      <c r="AV949" s="8">
        <v>67</v>
      </c>
      <c r="AW949" s="8">
        <v>50</v>
      </c>
      <c r="AX949" s="8">
        <v>263</v>
      </c>
      <c r="AY949" s="8">
        <v>93</v>
      </c>
      <c r="AZ949" s="8" t="s">
        <v>43</v>
      </c>
      <c r="BA949" s="7">
        <v>4</v>
      </c>
      <c r="BB949" s="9">
        <v>208</v>
      </c>
      <c r="BC949" s="8" t="s">
        <v>1145</v>
      </c>
      <c r="BD949" s="8">
        <v>1.3</v>
      </c>
      <c r="BE949" s="8">
        <v>1.5</v>
      </c>
      <c r="BF949" s="8">
        <v>2.5</v>
      </c>
      <c r="BG949" s="8">
        <v>5.2</v>
      </c>
      <c r="BH949" s="8">
        <v>7.2</v>
      </c>
      <c r="BI949" s="8">
        <v>11.5</v>
      </c>
      <c r="BJ949" s="8">
        <v>14.8</v>
      </c>
      <c r="BK949" s="8">
        <v>12.8</v>
      </c>
      <c r="BL949" s="8">
        <v>8.8000000000000007</v>
      </c>
      <c r="BM949" s="8">
        <v>5.4</v>
      </c>
      <c r="BN949" s="8">
        <v>3.1</v>
      </c>
      <c r="BO949" s="8">
        <v>1.8</v>
      </c>
      <c r="BP949" s="7">
        <v>6.3</v>
      </c>
    </row>
    <row r="950" spans="1:68" ht="14.25" customHeight="1">
      <c r="A950" s="12">
        <v>293</v>
      </c>
      <c r="B950" s="14">
        <v>195</v>
      </c>
      <c r="C950" s="13" t="s">
        <v>30</v>
      </c>
      <c r="D950" s="13" t="s">
        <v>1144</v>
      </c>
      <c r="E950" s="13" t="s">
        <v>1141</v>
      </c>
      <c r="F950" s="11">
        <v>-17.7</v>
      </c>
      <c r="G950" s="11">
        <v>-16.600000000000001</v>
      </c>
      <c r="H950" s="11">
        <v>-8.6</v>
      </c>
      <c r="I950" s="11">
        <v>4.0999999999999996</v>
      </c>
      <c r="J950" s="11">
        <v>12.6</v>
      </c>
      <c r="K950" s="11">
        <v>17.2</v>
      </c>
      <c r="L950" s="11">
        <v>19.100000000000001</v>
      </c>
      <c r="M950" s="11">
        <v>16.3</v>
      </c>
      <c r="N950" s="11">
        <v>10.9</v>
      </c>
      <c r="O950" s="11">
        <v>2.4</v>
      </c>
      <c r="P950" s="11">
        <v>-7.2</v>
      </c>
      <c r="Q950" s="11">
        <v>-14.3</v>
      </c>
      <c r="R950" s="10">
        <v>1.5</v>
      </c>
      <c r="S950" s="12">
        <v>195</v>
      </c>
      <c r="T950" s="8" t="s">
        <v>1143</v>
      </c>
      <c r="U950" s="11">
        <v>-43</v>
      </c>
      <c r="V950" s="11">
        <v>-41</v>
      </c>
      <c r="W950" s="11">
        <v>-39</v>
      </c>
      <c r="X950" s="11">
        <v>-37</v>
      </c>
      <c r="Y950" s="11">
        <v>-23</v>
      </c>
      <c r="Z950" s="11">
        <v>-48</v>
      </c>
      <c r="AA950" s="11">
        <v>8.4</v>
      </c>
      <c r="AB950" s="11">
        <v>164</v>
      </c>
      <c r="AC950" s="11">
        <v>-11.4</v>
      </c>
      <c r="AD950" s="11">
        <v>216</v>
      </c>
      <c r="AE950" s="11">
        <v>-7.7</v>
      </c>
      <c r="AF950" s="11">
        <v>230</v>
      </c>
      <c r="AG950" s="11">
        <v>-6.6</v>
      </c>
      <c r="AH950" s="11">
        <v>79</v>
      </c>
      <c r="AI950" s="11">
        <v>74</v>
      </c>
      <c r="AJ950" s="11">
        <v>95</v>
      </c>
      <c r="AK950" s="11" t="s">
        <v>34</v>
      </c>
      <c r="AL950" s="11" t="s">
        <v>44</v>
      </c>
      <c r="AM950" s="10">
        <v>4.4000000000000004</v>
      </c>
      <c r="AN950" s="9">
        <v>195</v>
      </c>
      <c r="AO950" s="8" t="s">
        <v>1142</v>
      </c>
      <c r="AP950" s="8">
        <v>1000</v>
      </c>
      <c r="AQ950" s="8">
        <v>23.8</v>
      </c>
      <c r="AR950" s="8">
        <v>28.1</v>
      </c>
      <c r="AS950" s="8">
        <v>25.2</v>
      </c>
      <c r="AT950" s="8">
        <v>41</v>
      </c>
      <c r="AU950" s="8">
        <v>11.9</v>
      </c>
      <c r="AV950" s="8">
        <v>69</v>
      </c>
      <c r="AW950" s="8">
        <v>54</v>
      </c>
      <c r="AX950" s="8">
        <v>286</v>
      </c>
      <c r="AY950" s="8">
        <v>87</v>
      </c>
      <c r="AZ950" s="8" t="s">
        <v>32</v>
      </c>
      <c r="BA950" s="7" t="s">
        <v>46</v>
      </c>
      <c r="BB950" s="9">
        <v>171</v>
      </c>
      <c r="BC950" s="8" t="s">
        <v>1141</v>
      </c>
      <c r="BD950" s="8">
        <v>1.5</v>
      </c>
      <c r="BE950" s="8">
        <v>1.6</v>
      </c>
      <c r="BF950" s="8">
        <v>2.8</v>
      </c>
      <c r="BG950" s="8">
        <v>5.6</v>
      </c>
      <c r="BH950" s="8">
        <v>8.1</v>
      </c>
      <c r="BI950" s="8">
        <v>11.9</v>
      </c>
      <c r="BJ950" s="8">
        <v>14.9</v>
      </c>
      <c r="BK950" s="8">
        <v>13.2</v>
      </c>
      <c r="BL950" s="8">
        <v>9.4</v>
      </c>
      <c r="BM950" s="8">
        <v>5.6</v>
      </c>
      <c r="BN950" s="8">
        <v>3.3</v>
      </c>
      <c r="BO950" s="8">
        <v>2</v>
      </c>
      <c r="BP950" s="7">
        <v>6.7</v>
      </c>
    </row>
    <row r="951" spans="1:68" ht="14.25" customHeight="1">
      <c r="A951" s="12">
        <v>294</v>
      </c>
      <c r="B951" s="14">
        <v>580</v>
      </c>
      <c r="C951" s="13" t="s">
        <v>135</v>
      </c>
      <c r="D951" s="13" t="s">
        <v>134</v>
      </c>
      <c r="E951" s="13" t="s">
        <v>1139</v>
      </c>
      <c r="F951" s="11">
        <v>1.8</v>
      </c>
      <c r="G951" s="11">
        <v>5.4</v>
      </c>
      <c r="H951" s="11">
        <v>10.8</v>
      </c>
      <c r="I951" s="11">
        <v>17.399999999999999</v>
      </c>
      <c r="J951" s="11">
        <v>22.5</v>
      </c>
      <c r="K951" s="11">
        <v>27.1</v>
      </c>
      <c r="L951" s="11">
        <v>28.6</v>
      </c>
      <c r="M951" s="11">
        <v>26.4</v>
      </c>
      <c r="N951" s="11">
        <v>21.2</v>
      </c>
      <c r="O951" s="11">
        <v>15.4</v>
      </c>
      <c r="P951" s="11">
        <v>9</v>
      </c>
      <c r="Q951" s="11">
        <v>4.0999999999999996</v>
      </c>
      <c r="R951" s="10">
        <v>15.8</v>
      </c>
      <c r="S951" s="15"/>
      <c r="T951" s="8" t="s">
        <v>1140</v>
      </c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0"/>
      <c r="AN951" s="9"/>
      <c r="AO951" s="8" t="s">
        <v>1140</v>
      </c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7"/>
      <c r="BB951" s="9"/>
      <c r="BC951" s="8" t="s">
        <v>1139</v>
      </c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7"/>
    </row>
    <row r="952" spans="1:68" ht="14.25" customHeight="1">
      <c r="A952" s="12">
        <v>295</v>
      </c>
      <c r="B952" s="14">
        <v>291</v>
      </c>
      <c r="C952" s="13" t="s">
        <v>30</v>
      </c>
      <c r="D952" s="13" t="s">
        <v>72</v>
      </c>
      <c r="E952" s="13" t="s">
        <v>1136</v>
      </c>
      <c r="F952" s="11">
        <v>-5.2</v>
      </c>
      <c r="G952" s="11">
        <v>-6.7</v>
      </c>
      <c r="H952" s="11">
        <v>-4</v>
      </c>
      <c r="I952" s="11">
        <v>1.5</v>
      </c>
      <c r="J952" s="11">
        <v>5.9</v>
      </c>
      <c r="K952" s="11">
        <v>9.1999999999999993</v>
      </c>
      <c r="L952" s="11">
        <v>13.5</v>
      </c>
      <c r="M952" s="11">
        <v>15.3</v>
      </c>
      <c r="N952" s="11">
        <v>13.1</v>
      </c>
      <c r="O952" s="11">
        <v>8.8000000000000007</v>
      </c>
      <c r="P952" s="11">
        <v>3.2</v>
      </c>
      <c r="Q952" s="11">
        <v>-1.5</v>
      </c>
      <c r="R952" s="10">
        <v>4.4000000000000004</v>
      </c>
      <c r="S952" s="12">
        <v>291</v>
      </c>
      <c r="T952" s="8" t="s">
        <v>1138</v>
      </c>
      <c r="U952" s="11">
        <v>-21</v>
      </c>
      <c r="V952" s="11">
        <v>-17</v>
      </c>
      <c r="W952" s="11">
        <v>-19</v>
      </c>
      <c r="X952" s="11">
        <v>-15</v>
      </c>
      <c r="Y952" s="11">
        <v>-12</v>
      </c>
      <c r="Z952" s="11">
        <v>-27</v>
      </c>
      <c r="AA952" s="11">
        <v>6.9</v>
      </c>
      <c r="AB952" s="11">
        <v>122</v>
      </c>
      <c r="AC952" s="11">
        <v>-4</v>
      </c>
      <c r="AD952" s="11">
        <v>227</v>
      </c>
      <c r="AE952" s="11">
        <v>-0.2</v>
      </c>
      <c r="AF952" s="11">
        <v>257</v>
      </c>
      <c r="AG952" s="11">
        <v>0.8</v>
      </c>
      <c r="AH952" s="11">
        <v>80</v>
      </c>
      <c r="AI952" s="11">
        <v>75</v>
      </c>
      <c r="AJ952" s="11">
        <v>466</v>
      </c>
      <c r="AK952" s="11" t="s">
        <v>75</v>
      </c>
      <c r="AL952" s="11">
        <v>11.9</v>
      </c>
      <c r="AM952" s="10">
        <v>6.4</v>
      </c>
      <c r="AN952" s="9">
        <v>285</v>
      </c>
      <c r="AO952" s="8" t="s">
        <v>1137</v>
      </c>
      <c r="AP952" s="8">
        <v>1010</v>
      </c>
      <c r="AQ952" s="8">
        <v>16.899999999999999</v>
      </c>
      <c r="AR952" s="8">
        <v>21.3</v>
      </c>
      <c r="AS952" s="8">
        <v>19.3</v>
      </c>
      <c r="AT952" s="8">
        <v>31</v>
      </c>
      <c r="AU952" s="8">
        <v>7.2</v>
      </c>
      <c r="AV952" s="8">
        <v>89</v>
      </c>
      <c r="AW952" s="8">
        <v>84</v>
      </c>
      <c r="AX952" s="8">
        <v>642</v>
      </c>
      <c r="AY952" s="8">
        <v>170</v>
      </c>
      <c r="AZ952" s="8" t="s">
        <v>63</v>
      </c>
      <c r="BA952" s="7">
        <v>0</v>
      </c>
      <c r="BB952" s="9">
        <v>256</v>
      </c>
      <c r="BC952" s="8" t="s">
        <v>1136</v>
      </c>
      <c r="BD952" s="8">
        <v>3.5</v>
      </c>
      <c r="BE952" s="8">
        <v>3.1</v>
      </c>
      <c r="BF952" s="8">
        <v>3.8</v>
      </c>
      <c r="BG952" s="8">
        <v>5.4</v>
      </c>
      <c r="BH952" s="8">
        <v>7.5</v>
      </c>
      <c r="BI952" s="8">
        <v>10.199999999999999</v>
      </c>
      <c r="BJ952" s="8">
        <v>14</v>
      </c>
      <c r="BK952" s="8">
        <v>15.8</v>
      </c>
      <c r="BL952" s="8">
        <v>13.1</v>
      </c>
      <c r="BM952" s="8">
        <v>9.6</v>
      </c>
      <c r="BN952" s="8">
        <v>6.5</v>
      </c>
      <c r="BO952" s="8">
        <v>4.5</v>
      </c>
      <c r="BP952" s="7">
        <v>8.1</v>
      </c>
    </row>
    <row r="953" spans="1:68" ht="14.25" customHeight="1">
      <c r="A953" s="12">
        <v>296</v>
      </c>
      <c r="B953" s="14">
        <v>196</v>
      </c>
      <c r="C953" s="13" t="s">
        <v>30</v>
      </c>
      <c r="D953" s="13" t="s">
        <v>1135</v>
      </c>
      <c r="E953" s="13" t="s">
        <v>1132</v>
      </c>
      <c r="F953" s="11">
        <v>-9.3000000000000007</v>
      </c>
      <c r="G953" s="11">
        <v>-7.8</v>
      </c>
      <c r="H953" s="11">
        <v>-3</v>
      </c>
      <c r="I953" s="11">
        <v>6.6</v>
      </c>
      <c r="J953" s="11">
        <v>13.9</v>
      </c>
      <c r="K953" s="11">
        <v>17.2</v>
      </c>
      <c r="L953" s="11">
        <v>18.7</v>
      </c>
      <c r="M953" s="11">
        <v>17.600000000000001</v>
      </c>
      <c r="N953" s="11">
        <v>12.2</v>
      </c>
      <c r="O953" s="11">
        <v>5.6</v>
      </c>
      <c r="P953" s="11">
        <v>-0.4</v>
      </c>
      <c r="Q953" s="11">
        <v>-5.2</v>
      </c>
      <c r="R953" s="10">
        <v>5.5</v>
      </c>
      <c r="S953" s="12">
        <v>196</v>
      </c>
      <c r="T953" s="8" t="s">
        <v>1134</v>
      </c>
      <c r="U953" s="11">
        <v>-32</v>
      </c>
      <c r="V953" s="11">
        <v>-30</v>
      </c>
      <c r="W953" s="11">
        <v>-29</v>
      </c>
      <c r="X953" s="11">
        <v>-26</v>
      </c>
      <c r="Y953" s="11">
        <v>-14</v>
      </c>
      <c r="Z953" s="11">
        <v>-35</v>
      </c>
      <c r="AA953" s="11">
        <v>6.3</v>
      </c>
      <c r="AB953" s="11">
        <v>132</v>
      </c>
      <c r="AC953" s="11">
        <v>-5.6</v>
      </c>
      <c r="AD953" s="11">
        <v>198</v>
      </c>
      <c r="AE953" s="11">
        <v>-2.4</v>
      </c>
      <c r="AF953" s="11">
        <v>216</v>
      </c>
      <c r="AG953" s="11">
        <v>-1.4</v>
      </c>
      <c r="AH953" s="11">
        <v>86</v>
      </c>
      <c r="AI953" s="11">
        <v>78</v>
      </c>
      <c r="AJ953" s="11">
        <v>212</v>
      </c>
      <c r="AK953" s="11" t="s">
        <v>39</v>
      </c>
      <c r="AL953" s="11">
        <v>5.3</v>
      </c>
      <c r="AM953" s="10">
        <v>4.4000000000000004</v>
      </c>
      <c r="AN953" s="9">
        <v>196</v>
      </c>
      <c r="AO953" s="8" t="s">
        <v>1133</v>
      </c>
      <c r="AP953" s="8">
        <v>985</v>
      </c>
      <c r="AQ953" s="8">
        <v>21.6</v>
      </c>
      <c r="AR953" s="8">
        <v>25.8</v>
      </c>
      <c r="AS953" s="8">
        <v>24</v>
      </c>
      <c r="AT953" s="8">
        <v>37</v>
      </c>
      <c r="AU953" s="8">
        <v>10</v>
      </c>
      <c r="AV953" s="8">
        <v>69</v>
      </c>
      <c r="AW953" s="8">
        <v>56</v>
      </c>
      <c r="AX953" s="8">
        <v>375</v>
      </c>
      <c r="AY953" s="8">
        <v>144</v>
      </c>
      <c r="AZ953" s="8" t="s">
        <v>37</v>
      </c>
      <c r="BA953" s="7">
        <v>3.5</v>
      </c>
      <c r="BB953" s="9">
        <v>172</v>
      </c>
      <c r="BC953" s="8" t="s">
        <v>1132</v>
      </c>
      <c r="BD953" s="8">
        <v>3.1</v>
      </c>
      <c r="BE953" s="8">
        <v>3.3</v>
      </c>
      <c r="BF953" s="8">
        <v>4.4000000000000004</v>
      </c>
      <c r="BG953" s="8">
        <v>7</v>
      </c>
      <c r="BH953" s="8">
        <v>9.6</v>
      </c>
      <c r="BI953" s="8">
        <v>12.8</v>
      </c>
      <c r="BJ953" s="8">
        <v>15</v>
      </c>
      <c r="BK953" s="8">
        <v>14</v>
      </c>
      <c r="BL953" s="8">
        <v>10.5</v>
      </c>
      <c r="BM953" s="8">
        <v>7.4</v>
      </c>
      <c r="BN953" s="8">
        <v>5.5</v>
      </c>
      <c r="BO953" s="8">
        <v>4</v>
      </c>
      <c r="BP953" s="7">
        <v>8.1</v>
      </c>
    </row>
    <row r="954" spans="1:68" ht="14.25" customHeight="1">
      <c r="A954" s="12">
        <v>297</v>
      </c>
      <c r="B954" s="14">
        <v>524</v>
      </c>
      <c r="C954" s="13" t="s">
        <v>121</v>
      </c>
      <c r="D954" s="13" t="s">
        <v>1131</v>
      </c>
      <c r="E954" s="13" t="s">
        <v>1129</v>
      </c>
      <c r="F954" s="11">
        <v>-17</v>
      </c>
      <c r="G954" s="11">
        <v>-16.600000000000001</v>
      </c>
      <c r="H954" s="11">
        <v>-9.8000000000000007</v>
      </c>
      <c r="I954" s="11">
        <v>3.8</v>
      </c>
      <c r="J954" s="11">
        <v>13</v>
      </c>
      <c r="K954" s="11">
        <v>18.600000000000001</v>
      </c>
      <c r="L954" s="11">
        <v>20.399999999999999</v>
      </c>
      <c r="M954" s="11">
        <v>17.899999999999999</v>
      </c>
      <c r="N954" s="11">
        <v>12</v>
      </c>
      <c r="O954" s="11">
        <v>3</v>
      </c>
      <c r="P954" s="11">
        <v>-6.2</v>
      </c>
      <c r="Q954" s="11">
        <v>-14.1</v>
      </c>
      <c r="R954" s="10">
        <v>2.1</v>
      </c>
      <c r="S954" s="12">
        <v>524</v>
      </c>
      <c r="T954" s="8" t="s">
        <v>1129</v>
      </c>
      <c r="U954" s="11">
        <v>-40</v>
      </c>
      <c r="V954" s="11">
        <v>-36</v>
      </c>
      <c r="W954" s="11">
        <v>-37</v>
      </c>
      <c r="X954" s="11">
        <v>-34</v>
      </c>
      <c r="Y954" s="11">
        <v>-24</v>
      </c>
      <c r="Z954" s="11" t="s">
        <v>44</v>
      </c>
      <c r="AA954" s="11">
        <v>8.6999999999999993</v>
      </c>
      <c r="AB954" s="11">
        <v>161</v>
      </c>
      <c r="AC954" s="11">
        <v>-12</v>
      </c>
      <c r="AD954" s="11">
        <v>212</v>
      </c>
      <c r="AE954" s="11">
        <v>-8.1</v>
      </c>
      <c r="AF954" s="11">
        <v>224</v>
      </c>
      <c r="AG954" s="11">
        <v>-7.2</v>
      </c>
      <c r="AH954" s="11">
        <v>81</v>
      </c>
      <c r="AI954" s="11">
        <v>78</v>
      </c>
      <c r="AJ954" s="11">
        <v>73</v>
      </c>
      <c r="AK954" s="11" t="s">
        <v>44</v>
      </c>
      <c r="AL954" s="11" t="s">
        <v>44</v>
      </c>
      <c r="AM954" s="10">
        <v>4.5999999999999996</v>
      </c>
      <c r="AN954" s="9">
        <v>524</v>
      </c>
      <c r="AO954" s="8" t="s">
        <v>1130</v>
      </c>
      <c r="AP954" s="8">
        <v>1000</v>
      </c>
      <c r="AQ954" s="8">
        <v>25.2</v>
      </c>
      <c r="AR954" s="8">
        <v>29.6</v>
      </c>
      <c r="AS954" s="8">
        <v>26.7</v>
      </c>
      <c r="AT954" s="8">
        <v>42</v>
      </c>
      <c r="AU954" s="8">
        <v>13.2</v>
      </c>
      <c r="AV954" s="8">
        <v>62</v>
      </c>
      <c r="AW954" s="8">
        <v>44</v>
      </c>
      <c r="AX954" s="8">
        <v>237</v>
      </c>
      <c r="AY954" s="8" t="s">
        <v>64</v>
      </c>
      <c r="AZ954" s="8" t="s">
        <v>114</v>
      </c>
      <c r="BA954" s="7" t="s">
        <v>46</v>
      </c>
      <c r="BB954" s="9"/>
      <c r="BC954" s="8" t="s">
        <v>1129</v>
      </c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7"/>
    </row>
    <row r="955" spans="1:68" ht="14.25" customHeight="1">
      <c r="A955" s="12">
        <v>298</v>
      </c>
      <c r="B955" s="14">
        <v>563</v>
      </c>
      <c r="C955" s="17" t="s">
        <v>208</v>
      </c>
      <c r="D955" s="17" t="s">
        <v>484</v>
      </c>
      <c r="E955" s="13" t="s">
        <v>1127</v>
      </c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0"/>
      <c r="S955" s="16">
        <v>563</v>
      </c>
      <c r="T955" s="8" t="s">
        <v>1127</v>
      </c>
      <c r="U955" s="11">
        <v>-20</v>
      </c>
      <c r="V955" s="11">
        <v>-17</v>
      </c>
      <c r="W955" s="11">
        <v>-16</v>
      </c>
      <c r="X955" s="11">
        <v>-12</v>
      </c>
      <c r="Y955" s="11">
        <v>-2</v>
      </c>
      <c r="Z955" s="11">
        <v>-33</v>
      </c>
      <c r="AA955" s="11">
        <v>11.1</v>
      </c>
      <c r="AB955" s="11">
        <v>0</v>
      </c>
      <c r="AC955" s="11" t="s">
        <v>50</v>
      </c>
      <c r="AD955" s="11">
        <v>115</v>
      </c>
      <c r="AE955" s="11">
        <v>4.4000000000000004</v>
      </c>
      <c r="AF955" s="11">
        <v>137</v>
      </c>
      <c r="AG955" s="11">
        <v>5.2</v>
      </c>
      <c r="AH955" s="11" t="s">
        <v>49</v>
      </c>
      <c r="AI955" s="11">
        <v>65</v>
      </c>
      <c r="AJ955" s="11">
        <v>239</v>
      </c>
      <c r="AK955" s="11" t="s">
        <v>39</v>
      </c>
      <c r="AL955" s="11">
        <v>3.1</v>
      </c>
      <c r="AM955" s="10" t="s">
        <v>44</v>
      </c>
      <c r="AN955" s="9">
        <v>564</v>
      </c>
      <c r="AO955" s="8" t="s">
        <v>1128</v>
      </c>
      <c r="AP955" s="8">
        <v>945</v>
      </c>
      <c r="AQ955" s="8">
        <v>38</v>
      </c>
      <c r="AR955" s="8">
        <v>32</v>
      </c>
      <c r="AS955" s="8">
        <v>36.5</v>
      </c>
      <c r="AT955" s="8">
        <v>46</v>
      </c>
      <c r="AU955" s="8">
        <v>17.899999999999999</v>
      </c>
      <c r="AV955" s="8">
        <v>26</v>
      </c>
      <c r="AW955" s="8">
        <v>14</v>
      </c>
      <c r="AX955" s="8">
        <v>67</v>
      </c>
      <c r="AY955" s="8">
        <v>71</v>
      </c>
      <c r="AZ955" s="8" t="s">
        <v>37</v>
      </c>
      <c r="BA955" s="7">
        <v>2.4</v>
      </c>
      <c r="BB955" s="9"/>
      <c r="BC955" s="8" t="s">
        <v>1127</v>
      </c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7"/>
    </row>
    <row r="956" spans="1:68" ht="14.25" customHeight="1">
      <c r="A956" s="12">
        <v>299</v>
      </c>
      <c r="B956" s="14">
        <v>322</v>
      </c>
      <c r="C956" s="13" t="s">
        <v>30</v>
      </c>
      <c r="D956" s="13" t="s">
        <v>1126</v>
      </c>
      <c r="E956" s="13" t="s">
        <v>1123</v>
      </c>
      <c r="F956" s="11">
        <v>-32.1</v>
      </c>
      <c r="G956" s="11">
        <v>-28</v>
      </c>
      <c r="H956" s="11">
        <v>-15.2</v>
      </c>
      <c r="I956" s="11">
        <v>2.2000000000000002</v>
      </c>
      <c r="J956" s="11">
        <v>11.4</v>
      </c>
      <c r="K956" s="11">
        <v>17.899999999999999</v>
      </c>
      <c r="L956" s="11">
        <v>19.8</v>
      </c>
      <c r="M956" s="11">
        <v>17</v>
      </c>
      <c r="N956" s="11">
        <v>10</v>
      </c>
      <c r="O956" s="11">
        <v>0</v>
      </c>
      <c r="P956" s="11">
        <v>-15.6</v>
      </c>
      <c r="Q956" s="11">
        <v>-28.4</v>
      </c>
      <c r="R956" s="10">
        <v>-3.4</v>
      </c>
      <c r="S956" s="12">
        <v>322</v>
      </c>
      <c r="T956" s="8" t="s">
        <v>1125</v>
      </c>
      <c r="U956" s="11">
        <v>-49</v>
      </c>
      <c r="V956" s="11">
        <v>-48</v>
      </c>
      <c r="W956" s="11">
        <v>-48</v>
      </c>
      <c r="X956" s="11">
        <v>-47</v>
      </c>
      <c r="Y956" s="11">
        <v>-37</v>
      </c>
      <c r="Z956" s="11">
        <v>-54</v>
      </c>
      <c r="AA956" s="11">
        <v>10.9</v>
      </c>
      <c r="AB956" s="11">
        <v>178</v>
      </c>
      <c r="AC956" s="11">
        <v>-20.100000000000001</v>
      </c>
      <c r="AD956" s="11">
        <v>225</v>
      </c>
      <c r="AE956" s="11">
        <v>-15</v>
      </c>
      <c r="AF956" s="11">
        <v>238</v>
      </c>
      <c r="AG956" s="11">
        <v>-13.7</v>
      </c>
      <c r="AH956" s="11">
        <v>73</v>
      </c>
      <c r="AI956" s="11">
        <v>69</v>
      </c>
      <c r="AJ956" s="11">
        <v>58</v>
      </c>
      <c r="AK956" s="11" t="s">
        <v>66</v>
      </c>
      <c r="AL956" s="11">
        <v>1.7</v>
      </c>
      <c r="AM956" s="10">
        <v>1.4</v>
      </c>
      <c r="AN956" s="9">
        <v>322</v>
      </c>
      <c r="AO956" s="8" t="s">
        <v>1124</v>
      </c>
      <c r="AP956" s="8">
        <v>935</v>
      </c>
      <c r="AQ956" s="8">
        <v>24.5</v>
      </c>
      <c r="AR956" s="8">
        <v>28.6</v>
      </c>
      <c r="AS956" s="8">
        <v>26.9</v>
      </c>
      <c r="AT956" s="8">
        <v>38</v>
      </c>
      <c r="AU956" s="8">
        <v>13.7</v>
      </c>
      <c r="AV956" s="8">
        <v>58</v>
      </c>
      <c r="AW956" s="8">
        <v>44</v>
      </c>
      <c r="AX956" s="8">
        <v>195</v>
      </c>
      <c r="AY956" s="8">
        <v>51</v>
      </c>
      <c r="AZ956" s="8" t="s">
        <v>32</v>
      </c>
      <c r="BA956" s="7">
        <v>0</v>
      </c>
      <c r="BB956" s="9">
        <v>290</v>
      </c>
      <c r="BC956" s="8" t="s">
        <v>1123</v>
      </c>
      <c r="BD956" s="8">
        <v>0.4</v>
      </c>
      <c r="BE956" s="8">
        <v>0.6</v>
      </c>
      <c r="BF956" s="8">
        <v>1.6</v>
      </c>
      <c r="BG956" s="8">
        <v>3.8</v>
      </c>
      <c r="BH956" s="8">
        <v>5.6</v>
      </c>
      <c r="BI956" s="8">
        <v>9.6999999999999993</v>
      </c>
      <c r="BJ956" s="8">
        <v>12.6</v>
      </c>
      <c r="BK956" s="8">
        <v>11.4</v>
      </c>
      <c r="BL956" s="8">
        <v>7.3</v>
      </c>
      <c r="BM956" s="8">
        <v>3.9</v>
      </c>
      <c r="BN956" s="8">
        <v>1.7</v>
      </c>
      <c r="BO956" s="8">
        <v>0.6</v>
      </c>
      <c r="BP956" s="7">
        <v>4.9000000000000004</v>
      </c>
    </row>
    <row r="957" spans="1:68" ht="14.25" customHeight="1">
      <c r="A957" s="12">
        <v>300</v>
      </c>
      <c r="B957" s="14">
        <v>237</v>
      </c>
      <c r="C957" s="13" t="s">
        <v>30</v>
      </c>
      <c r="D957" s="13" t="s">
        <v>149</v>
      </c>
      <c r="E957" s="13" t="s">
        <v>1120</v>
      </c>
      <c r="F957" s="11">
        <v>-20.3</v>
      </c>
      <c r="G957" s="11">
        <v>-18.3</v>
      </c>
      <c r="H957" s="11">
        <v>-10.7</v>
      </c>
      <c r="I957" s="11">
        <v>1.3</v>
      </c>
      <c r="J957" s="11">
        <v>9.8000000000000007</v>
      </c>
      <c r="K957" s="11">
        <v>15.7</v>
      </c>
      <c r="L957" s="11">
        <v>18</v>
      </c>
      <c r="M957" s="11">
        <v>14.6</v>
      </c>
      <c r="N957" s="11">
        <v>9.3000000000000007</v>
      </c>
      <c r="O957" s="11">
        <v>0.8</v>
      </c>
      <c r="P957" s="11">
        <v>-9.8000000000000007</v>
      </c>
      <c r="Q957" s="11">
        <v>-17.399999999999999</v>
      </c>
      <c r="R957" s="10">
        <v>-0.6</v>
      </c>
      <c r="S957" s="12">
        <v>237</v>
      </c>
      <c r="T957" s="8" t="s">
        <v>1122</v>
      </c>
      <c r="U957" s="11">
        <v>-46</v>
      </c>
      <c r="V957" s="11">
        <v>-43</v>
      </c>
      <c r="W957" s="11">
        <v>-42</v>
      </c>
      <c r="X957" s="11">
        <v>-40</v>
      </c>
      <c r="Y957" s="11">
        <v>-25</v>
      </c>
      <c r="Z957" s="11">
        <v>-52</v>
      </c>
      <c r="AA957" s="11">
        <v>9.9</v>
      </c>
      <c r="AB957" s="11">
        <v>176</v>
      </c>
      <c r="AC957" s="11">
        <v>-12.9</v>
      </c>
      <c r="AD957" s="11">
        <v>231</v>
      </c>
      <c r="AE957" s="11">
        <v>-8.9</v>
      </c>
      <c r="AF957" s="11">
        <v>248</v>
      </c>
      <c r="AG957" s="11">
        <v>7.7</v>
      </c>
      <c r="AH957" s="11">
        <v>80</v>
      </c>
      <c r="AI957" s="11">
        <v>78</v>
      </c>
      <c r="AJ957" s="11">
        <v>87</v>
      </c>
      <c r="AK957" s="11" t="s">
        <v>39</v>
      </c>
      <c r="AL957" s="11" t="s">
        <v>44</v>
      </c>
      <c r="AM957" s="10" t="s">
        <v>44</v>
      </c>
      <c r="AN957" s="9">
        <v>237</v>
      </c>
      <c r="AO957" s="8" t="s">
        <v>1121</v>
      </c>
      <c r="AP957" s="8">
        <v>995</v>
      </c>
      <c r="AQ957" s="8">
        <v>21.9</v>
      </c>
      <c r="AR957" s="8">
        <v>26.1</v>
      </c>
      <c r="AS957" s="8">
        <v>24.3</v>
      </c>
      <c r="AT957" s="8">
        <v>39</v>
      </c>
      <c r="AU957" s="8">
        <v>12.3</v>
      </c>
      <c r="AV957" s="8">
        <v>75</v>
      </c>
      <c r="AW957" s="8">
        <v>59</v>
      </c>
      <c r="AX957" s="8">
        <v>350</v>
      </c>
      <c r="AY957" s="8" t="s">
        <v>64</v>
      </c>
      <c r="AZ957" s="8" t="s">
        <v>32</v>
      </c>
      <c r="BA957" s="7" t="s">
        <v>46</v>
      </c>
      <c r="BB957" s="9">
        <v>209</v>
      </c>
      <c r="BC957" s="8" t="s">
        <v>1120</v>
      </c>
      <c r="BD957" s="8">
        <v>1.3</v>
      </c>
      <c r="BE957" s="8">
        <v>1.4</v>
      </c>
      <c r="BF957" s="8">
        <v>2.4</v>
      </c>
      <c r="BG957" s="8">
        <v>4.8</v>
      </c>
      <c r="BH957" s="8">
        <v>7.2</v>
      </c>
      <c r="BI957" s="8">
        <v>11.8</v>
      </c>
      <c r="BJ957" s="8">
        <v>15.1</v>
      </c>
      <c r="BK957" s="8">
        <v>13.1</v>
      </c>
      <c r="BL957" s="8">
        <v>9</v>
      </c>
      <c r="BM957" s="8">
        <v>5.3</v>
      </c>
      <c r="BN957" s="8">
        <v>2.9</v>
      </c>
      <c r="BO957" s="8">
        <v>1.7</v>
      </c>
      <c r="BP957" s="7">
        <v>6.3</v>
      </c>
    </row>
    <row r="958" spans="1:68" ht="14.25" customHeight="1">
      <c r="A958" s="12">
        <v>301</v>
      </c>
      <c r="B958" s="14">
        <v>420</v>
      </c>
      <c r="C958" s="13" t="s">
        <v>30</v>
      </c>
      <c r="D958" s="13" t="s">
        <v>57</v>
      </c>
      <c r="E958" s="13" t="s">
        <v>1119</v>
      </c>
      <c r="F958" s="11">
        <v>-38</v>
      </c>
      <c r="G958" s="11">
        <v>-34.9</v>
      </c>
      <c r="H958" s="11">
        <v>-26.3</v>
      </c>
      <c r="I958" s="11">
        <v>-15.7</v>
      </c>
      <c r="J958" s="11">
        <v>-3.5</v>
      </c>
      <c r="K958" s="11">
        <v>7.9</v>
      </c>
      <c r="L958" s="11">
        <v>12.4</v>
      </c>
      <c r="M958" s="11">
        <v>9.4</v>
      </c>
      <c r="N958" s="11">
        <v>2</v>
      </c>
      <c r="O958" s="11">
        <v>-11.2</v>
      </c>
      <c r="P958" s="11">
        <v>-29</v>
      </c>
      <c r="Q958" s="11">
        <v>-35</v>
      </c>
      <c r="R958" s="10">
        <v>-13.5</v>
      </c>
      <c r="S958" s="12">
        <v>420</v>
      </c>
      <c r="T958" s="8" t="s">
        <v>1117</v>
      </c>
      <c r="U958" s="11">
        <v>-58</v>
      </c>
      <c r="V958" s="11">
        <v>-56</v>
      </c>
      <c r="W958" s="11">
        <v>-56</v>
      </c>
      <c r="X958" s="11">
        <v>-54</v>
      </c>
      <c r="Y958" s="11">
        <v>-43</v>
      </c>
      <c r="Z958" s="11">
        <v>-60</v>
      </c>
      <c r="AA958" s="11">
        <v>8</v>
      </c>
      <c r="AB958" s="11">
        <v>247</v>
      </c>
      <c r="AC958" s="11">
        <v>-23.4</v>
      </c>
      <c r="AD958" s="11">
        <v>298</v>
      </c>
      <c r="AE958" s="11">
        <v>-18.7</v>
      </c>
      <c r="AF958" s="11">
        <v>324</v>
      </c>
      <c r="AG958" s="11">
        <v>-16.5</v>
      </c>
      <c r="AH958" s="11">
        <v>74</v>
      </c>
      <c r="AI958" s="11">
        <v>74</v>
      </c>
      <c r="AJ958" s="11">
        <v>90</v>
      </c>
      <c r="AK958" s="11" t="s">
        <v>39</v>
      </c>
      <c r="AL958" s="11">
        <v>7.7</v>
      </c>
      <c r="AM958" s="10">
        <v>3.9</v>
      </c>
      <c r="AN958" s="9">
        <v>420</v>
      </c>
      <c r="AO958" s="8" t="s">
        <v>1118</v>
      </c>
      <c r="AP958" s="8">
        <v>1005</v>
      </c>
      <c r="AQ958" s="8">
        <v>15.2</v>
      </c>
      <c r="AR958" s="8">
        <v>19.7</v>
      </c>
      <c r="AS958" s="8">
        <v>17.600000000000001</v>
      </c>
      <c r="AT958" s="8">
        <v>34</v>
      </c>
      <c r="AU958" s="8">
        <v>9.8000000000000007</v>
      </c>
      <c r="AV958" s="8">
        <v>68</v>
      </c>
      <c r="AW958" s="8">
        <v>59</v>
      </c>
      <c r="AX958" s="8">
        <v>337</v>
      </c>
      <c r="AY958" s="8">
        <v>42</v>
      </c>
      <c r="AZ958" s="8" t="s">
        <v>37</v>
      </c>
      <c r="BA958" s="7">
        <v>0</v>
      </c>
      <c r="BB958" s="9"/>
      <c r="BC958" s="8" t="s">
        <v>1117</v>
      </c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7"/>
    </row>
    <row r="959" spans="1:68" ht="14.25" customHeight="1">
      <c r="A959" s="12">
        <v>302</v>
      </c>
      <c r="B959" s="14">
        <v>57</v>
      </c>
      <c r="C959" s="13" t="s">
        <v>30</v>
      </c>
      <c r="D959" s="13" t="s">
        <v>237</v>
      </c>
      <c r="E959" s="13" t="s">
        <v>1114</v>
      </c>
      <c r="F959" s="11">
        <v>-21.9</v>
      </c>
      <c r="G959" s="11">
        <v>-18.2</v>
      </c>
      <c r="H959" s="11">
        <v>-8.6</v>
      </c>
      <c r="I959" s="11">
        <v>2</v>
      </c>
      <c r="J959" s="11">
        <v>9.5</v>
      </c>
      <c r="K959" s="11">
        <v>16.600000000000001</v>
      </c>
      <c r="L959" s="11">
        <v>18.899999999999999</v>
      </c>
      <c r="M959" s="11">
        <v>16.399999999999999</v>
      </c>
      <c r="N959" s="11">
        <v>9.1999999999999993</v>
      </c>
      <c r="O959" s="11">
        <v>0.6</v>
      </c>
      <c r="P959" s="11">
        <v>-10.5</v>
      </c>
      <c r="Q959" s="11">
        <v>-19.2</v>
      </c>
      <c r="R959" s="10">
        <v>-0.4</v>
      </c>
      <c r="S959" s="12">
        <v>57</v>
      </c>
      <c r="T959" s="8" t="s">
        <v>1116</v>
      </c>
      <c r="U959" s="11">
        <v>-44</v>
      </c>
      <c r="V959" s="11">
        <v>-37</v>
      </c>
      <c r="W959" s="11">
        <v>-41</v>
      </c>
      <c r="X959" s="11">
        <v>-35</v>
      </c>
      <c r="Y959" s="11">
        <v>-27</v>
      </c>
      <c r="Z959" s="11">
        <v>-46</v>
      </c>
      <c r="AA959" s="11">
        <v>10.4</v>
      </c>
      <c r="AB959" s="11">
        <v>174</v>
      </c>
      <c r="AC959" s="11">
        <v>-13.4</v>
      </c>
      <c r="AD959" s="11">
        <v>232</v>
      </c>
      <c r="AE959" s="11">
        <v>-9</v>
      </c>
      <c r="AF959" s="11">
        <v>248</v>
      </c>
      <c r="AG959" s="11">
        <v>-7.9</v>
      </c>
      <c r="AH959" s="11">
        <v>74</v>
      </c>
      <c r="AI959" s="11">
        <v>62</v>
      </c>
      <c r="AJ959" s="11">
        <v>28</v>
      </c>
      <c r="AK959" s="11" t="s">
        <v>34</v>
      </c>
      <c r="AL959" s="11">
        <v>4</v>
      </c>
      <c r="AM959" s="10">
        <v>1.6</v>
      </c>
      <c r="AN959" s="9">
        <v>57</v>
      </c>
      <c r="AO959" s="8" t="s">
        <v>1115</v>
      </c>
      <c r="AP959" s="8">
        <v>920</v>
      </c>
      <c r="AQ959" s="8">
        <v>22.4</v>
      </c>
      <c r="AR959" s="8">
        <v>26.6</v>
      </c>
      <c r="AS959" s="8">
        <v>24.8</v>
      </c>
      <c r="AT959" s="8">
        <v>39</v>
      </c>
      <c r="AU959" s="8">
        <v>11.9</v>
      </c>
      <c r="AV959" s="8">
        <v>64</v>
      </c>
      <c r="AW959" s="8">
        <v>52</v>
      </c>
      <c r="AX959" s="8">
        <v>317</v>
      </c>
      <c r="AY959" s="8">
        <v>76</v>
      </c>
      <c r="AZ959" s="8" t="s">
        <v>32</v>
      </c>
      <c r="BA959" s="7">
        <v>0</v>
      </c>
      <c r="BB959" s="9">
        <v>43</v>
      </c>
      <c r="BC959" s="8" t="s">
        <v>1114</v>
      </c>
      <c r="BD959" s="8">
        <v>1</v>
      </c>
      <c r="BE959" s="8">
        <v>1.2</v>
      </c>
      <c r="BF959" s="8">
        <v>2.2999999999999998</v>
      </c>
      <c r="BG959" s="8">
        <v>3.4</v>
      </c>
      <c r="BH959" s="8">
        <v>5.3</v>
      </c>
      <c r="BI959" s="8">
        <v>9.9</v>
      </c>
      <c r="BJ959" s="8">
        <v>13.8</v>
      </c>
      <c r="BK959" s="8">
        <v>12.2</v>
      </c>
      <c r="BL959" s="8">
        <v>7.5</v>
      </c>
      <c r="BM959" s="8">
        <v>4.2</v>
      </c>
      <c r="BN959" s="8">
        <v>2</v>
      </c>
      <c r="BO959" s="8">
        <v>1.2</v>
      </c>
      <c r="BP959" s="7">
        <v>5.3</v>
      </c>
    </row>
    <row r="960" spans="1:68" ht="14.25" customHeight="1">
      <c r="A960" s="12">
        <v>303</v>
      </c>
      <c r="B960" s="14">
        <v>509</v>
      </c>
      <c r="C960" s="13" t="s">
        <v>121</v>
      </c>
      <c r="D960" s="13" t="s">
        <v>120</v>
      </c>
      <c r="E960" s="13" t="s">
        <v>1112</v>
      </c>
      <c r="F960" s="11">
        <v>-12.5</v>
      </c>
      <c r="G960" s="11">
        <v>-12.1</v>
      </c>
      <c r="H960" s="11">
        <v>-6.3</v>
      </c>
      <c r="I960" s="11">
        <v>3</v>
      </c>
      <c r="J960" s="11">
        <v>10.4</v>
      </c>
      <c r="K960" s="11">
        <v>15.3</v>
      </c>
      <c r="L960" s="11">
        <v>17.100000000000001</v>
      </c>
      <c r="M960" s="11">
        <v>14.9</v>
      </c>
      <c r="N960" s="11">
        <v>9.9</v>
      </c>
      <c r="O960" s="11">
        <v>2.7</v>
      </c>
      <c r="P960" s="11">
        <v>-6.7</v>
      </c>
      <c r="Q960" s="11">
        <v>-11.2</v>
      </c>
      <c r="R960" s="10">
        <v>2</v>
      </c>
      <c r="S960" s="12">
        <v>509</v>
      </c>
      <c r="T960" s="8" t="s">
        <v>1112</v>
      </c>
      <c r="U960" s="11">
        <v>-45</v>
      </c>
      <c r="V960" s="11">
        <v>-39</v>
      </c>
      <c r="W960" s="11">
        <v>-42</v>
      </c>
      <c r="X960" s="11">
        <v>-36</v>
      </c>
      <c r="Y960" s="11" t="s">
        <v>49</v>
      </c>
      <c r="Z960" s="11" t="s">
        <v>44</v>
      </c>
      <c r="AA960" s="11">
        <v>11.4</v>
      </c>
      <c r="AB960" s="11">
        <v>164</v>
      </c>
      <c r="AC960" s="11">
        <v>-9</v>
      </c>
      <c r="AD960" s="11">
        <v>223</v>
      </c>
      <c r="AE960" s="11">
        <v>-5.5</v>
      </c>
      <c r="AF960" s="11">
        <v>240</v>
      </c>
      <c r="AG960" s="11">
        <v>-4.4000000000000004</v>
      </c>
      <c r="AH960" s="11">
        <v>67</v>
      </c>
      <c r="AI960" s="11" t="s">
        <v>49</v>
      </c>
      <c r="AJ960" s="11">
        <v>126</v>
      </c>
      <c r="AK960" s="11" t="s">
        <v>66</v>
      </c>
      <c r="AL960" s="11">
        <v>6.6</v>
      </c>
      <c r="AM960" s="10">
        <v>2.7</v>
      </c>
      <c r="AN960" s="9">
        <v>509</v>
      </c>
      <c r="AO960" s="8" t="s">
        <v>1113</v>
      </c>
      <c r="AP960" s="8" t="s">
        <v>64</v>
      </c>
      <c r="AQ960" s="8" t="s">
        <v>45</v>
      </c>
      <c r="AR960" s="8" t="s">
        <v>44</v>
      </c>
      <c r="AS960" s="8">
        <v>23.9</v>
      </c>
      <c r="AT960" s="8">
        <v>37</v>
      </c>
      <c r="AU960" s="8">
        <v>14</v>
      </c>
      <c r="AV960" s="8">
        <v>69</v>
      </c>
      <c r="AW960" s="8" t="s">
        <v>44</v>
      </c>
      <c r="AX960" s="8">
        <v>549</v>
      </c>
      <c r="AY960" s="8" t="s">
        <v>64</v>
      </c>
      <c r="AZ960" s="8" t="s">
        <v>63</v>
      </c>
      <c r="BA960" s="7">
        <v>1.6</v>
      </c>
      <c r="BB960" s="9"/>
      <c r="BC960" s="8" t="s">
        <v>1112</v>
      </c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7"/>
    </row>
    <row r="961" spans="1:68" ht="14.25" customHeight="1">
      <c r="A961" s="12">
        <v>304</v>
      </c>
      <c r="B961" s="14">
        <v>421</v>
      </c>
      <c r="C961" s="13" t="s">
        <v>30</v>
      </c>
      <c r="D961" s="13" t="s">
        <v>57</v>
      </c>
      <c r="E961" s="13" t="s">
        <v>1110</v>
      </c>
      <c r="F961" s="11">
        <v>-29.8</v>
      </c>
      <c r="G961" s="11">
        <v>-27.6</v>
      </c>
      <c r="H961" s="11">
        <v>-16.5</v>
      </c>
      <c r="I961" s="11">
        <v>-4.2</v>
      </c>
      <c r="J961" s="11">
        <v>5.5</v>
      </c>
      <c r="K961" s="11">
        <v>14.2</v>
      </c>
      <c r="L961" s="11">
        <v>17.600000000000001</v>
      </c>
      <c r="M961" s="11">
        <v>13.8</v>
      </c>
      <c r="N961" s="11">
        <v>5.9</v>
      </c>
      <c r="O961" s="11">
        <v>-4.5</v>
      </c>
      <c r="P961" s="11">
        <v>-20.399999999999999</v>
      </c>
      <c r="Q961" s="11">
        <v>-28.9</v>
      </c>
      <c r="R961" s="10">
        <v>-6.2</v>
      </c>
      <c r="S961" s="12">
        <v>421</v>
      </c>
      <c r="T961" s="8" t="s">
        <v>1110</v>
      </c>
      <c r="U961" s="11">
        <v>-55</v>
      </c>
      <c r="V961" s="11">
        <v>-53</v>
      </c>
      <c r="W961" s="11">
        <v>-52</v>
      </c>
      <c r="X961" s="11">
        <v>-49</v>
      </c>
      <c r="Y961" s="11">
        <v>-35</v>
      </c>
      <c r="Z961" s="11">
        <v>-57</v>
      </c>
      <c r="AA961" s="11">
        <v>10</v>
      </c>
      <c r="AB961" s="11">
        <v>208</v>
      </c>
      <c r="AC961" s="11">
        <v>-18.8</v>
      </c>
      <c r="AD961" s="11">
        <v>259</v>
      </c>
      <c r="AE961" s="11">
        <v>-14.2</v>
      </c>
      <c r="AF961" s="11">
        <v>274</v>
      </c>
      <c r="AG961" s="11">
        <v>-13</v>
      </c>
      <c r="AH961" s="11">
        <v>75</v>
      </c>
      <c r="AI961" s="11">
        <v>75</v>
      </c>
      <c r="AJ961" s="11">
        <v>103</v>
      </c>
      <c r="AK961" s="11" t="s">
        <v>48</v>
      </c>
      <c r="AL961" s="11" t="s">
        <v>44</v>
      </c>
      <c r="AM961" s="10">
        <v>2.8</v>
      </c>
      <c r="AN961" s="9">
        <v>421</v>
      </c>
      <c r="AO961" s="8" t="s">
        <v>1111</v>
      </c>
      <c r="AP961" s="8">
        <v>980</v>
      </c>
      <c r="AQ961" s="8">
        <v>22.3</v>
      </c>
      <c r="AR961" s="8">
        <v>26.5</v>
      </c>
      <c r="AS961" s="8">
        <v>24.7</v>
      </c>
      <c r="AT961" s="8">
        <v>36</v>
      </c>
      <c r="AU961" s="8">
        <v>14.2</v>
      </c>
      <c r="AV961" s="8">
        <v>68</v>
      </c>
      <c r="AW961" s="8">
        <v>53</v>
      </c>
      <c r="AX961" s="8">
        <v>283</v>
      </c>
      <c r="AY961" s="8">
        <v>106</v>
      </c>
      <c r="AZ961" s="8" t="s">
        <v>43</v>
      </c>
      <c r="BA961" s="7" t="s">
        <v>46</v>
      </c>
      <c r="BB961" s="9">
        <v>384</v>
      </c>
      <c r="BC961" s="8" t="s">
        <v>1110</v>
      </c>
      <c r="BD961" s="8">
        <v>0.6</v>
      </c>
      <c r="BE961" s="8">
        <v>0.7</v>
      </c>
      <c r="BF961" s="8">
        <v>1.4</v>
      </c>
      <c r="BG961" s="8">
        <v>2.7</v>
      </c>
      <c r="BH961" s="8">
        <v>5</v>
      </c>
      <c r="BI961" s="8">
        <v>9.6999999999999993</v>
      </c>
      <c r="BJ961" s="8">
        <v>13.3</v>
      </c>
      <c r="BK961" s="8">
        <v>11.6</v>
      </c>
      <c r="BL961" s="8">
        <v>7.1</v>
      </c>
      <c r="BM961" s="8">
        <v>3.7</v>
      </c>
      <c r="BN961" s="8">
        <v>1.3</v>
      </c>
      <c r="BO961" s="8">
        <v>0.7</v>
      </c>
      <c r="BP961" s="7">
        <v>4.8</v>
      </c>
    </row>
    <row r="962" spans="1:68" ht="14.25" customHeight="1">
      <c r="A962" s="12">
        <v>305</v>
      </c>
      <c r="B962" s="14">
        <v>327</v>
      </c>
      <c r="C962" s="13" t="s">
        <v>30</v>
      </c>
      <c r="D962" s="13" t="s">
        <v>259</v>
      </c>
      <c r="E962" s="13" t="s">
        <v>1107</v>
      </c>
      <c r="F962" s="11">
        <v>-18.100000000000001</v>
      </c>
      <c r="G962" s="11">
        <v>-16.2</v>
      </c>
      <c r="H962" s="11">
        <v>-8.5</v>
      </c>
      <c r="I962" s="11">
        <v>1.6</v>
      </c>
      <c r="J962" s="11">
        <v>8.4</v>
      </c>
      <c r="K962" s="11">
        <v>14.9</v>
      </c>
      <c r="L962" s="11">
        <v>17.8</v>
      </c>
      <c r="M962" s="11">
        <v>14.9</v>
      </c>
      <c r="N962" s="11">
        <v>8.9</v>
      </c>
      <c r="O962" s="11">
        <v>0.3</v>
      </c>
      <c r="P962" s="11">
        <v>-8.8000000000000007</v>
      </c>
      <c r="Q962" s="11">
        <v>-15.9</v>
      </c>
      <c r="R962" s="10">
        <v>-0.1</v>
      </c>
      <c r="S962" s="12">
        <v>327</v>
      </c>
      <c r="T962" s="8" t="s">
        <v>1109</v>
      </c>
      <c r="U962" s="11">
        <v>-46</v>
      </c>
      <c r="V962" s="11">
        <v>-43</v>
      </c>
      <c r="W962" s="11">
        <v>-44</v>
      </c>
      <c r="X962" s="11">
        <v>-39</v>
      </c>
      <c r="Y962" s="11">
        <v>-23</v>
      </c>
      <c r="Z962" s="11">
        <v>-48</v>
      </c>
      <c r="AA962" s="11">
        <v>7.7</v>
      </c>
      <c r="AB962" s="11">
        <v>176</v>
      </c>
      <c r="AC962" s="11">
        <v>-11.4</v>
      </c>
      <c r="AD962" s="11">
        <v>238</v>
      </c>
      <c r="AE962" s="11">
        <v>-7.4</v>
      </c>
      <c r="AF962" s="11">
        <v>256</v>
      </c>
      <c r="AG962" s="11">
        <v>-6.2</v>
      </c>
      <c r="AH962" s="11">
        <v>81</v>
      </c>
      <c r="AI962" s="11">
        <v>80</v>
      </c>
      <c r="AJ962" s="11">
        <v>100</v>
      </c>
      <c r="AK962" s="11" t="s">
        <v>39</v>
      </c>
      <c r="AL962" s="11" t="s">
        <v>44</v>
      </c>
      <c r="AM962" s="10">
        <v>4.5999999999999996</v>
      </c>
      <c r="AN962" s="9">
        <v>327</v>
      </c>
      <c r="AO962" s="8" t="s">
        <v>1108</v>
      </c>
      <c r="AP962" s="8">
        <v>1000</v>
      </c>
      <c r="AQ962" s="8">
        <v>20.8</v>
      </c>
      <c r="AR962" s="8">
        <v>25.4</v>
      </c>
      <c r="AS962" s="8">
        <v>22.8</v>
      </c>
      <c r="AT962" s="8">
        <v>35</v>
      </c>
      <c r="AU962" s="8">
        <v>9.8000000000000007</v>
      </c>
      <c r="AV962" s="8">
        <v>70</v>
      </c>
      <c r="AW962" s="8">
        <v>58</v>
      </c>
      <c r="AX962" s="8">
        <v>389</v>
      </c>
      <c r="AY962" s="8" t="s">
        <v>64</v>
      </c>
      <c r="AZ962" s="8" t="s">
        <v>82</v>
      </c>
      <c r="BA962" s="7" t="s">
        <v>46</v>
      </c>
      <c r="BB962" s="9">
        <v>295</v>
      </c>
      <c r="BC962" s="8" t="s">
        <v>1107</v>
      </c>
      <c r="BD962" s="8">
        <v>1.5</v>
      </c>
      <c r="BE962" s="8">
        <v>1.6</v>
      </c>
      <c r="BF962" s="8">
        <v>2.6</v>
      </c>
      <c r="BG962" s="8">
        <v>4.7</v>
      </c>
      <c r="BH962" s="8">
        <v>6.9</v>
      </c>
      <c r="BI962" s="8">
        <v>10.9</v>
      </c>
      <c r="BJ962" s="8">
        <v>14.2</v>
      </c>
      <c r="BK962" s="8">
        <v>12.8</v>
      </c>
      <c r="BL962" s="8">
        <v>9</v>
      </c>
      <c r="BM962" s="8">
        <v>5.0999999999999996</v>
      </c>
      <c r="BN962" s="8">
        <v>3</v>
      </c>
      <c r="BO962" s="8">
        <v>1.9</v>
      </c>
      <c r="BP962" s="7">
        <v>6.2</v>
      </c>
    </row>
    <row r="963" spans="1:68" ht="14.25" customHeight="1">
      <c r="A963" s="12">
        <v>306</v>
      </c>
      <c r="B963" s="14">
        <v>197</v>
      </c>
      <c r="C963" s="13" t="s">
        <v>30</v>
      </c>
      <c r="D963" s="13" t="s">
        <v>1106</v>
      </c>
      <c r="E963" s="13" t="s">
        <v>1103</v>
      </c>
      <c r="F963" s="11">
        <v>-10.3</v>
      </c>
      <c r="G963" s="11">
        <v>-9.5</v>
      </c>
      <c r="H963" s="11">
        <v>-4.4000000000000004</v>
      </c>
      <c r="I963" s="11">
        <v>5.5</v>
      </c>
      <c r="J963" s="11">
        <v>13.8</v>
      </c>
      <c r="K963" s="11">
        <v>18</v>
      </c>
      <c r="L963" s="11">
        <v>20.2</v>
      </c>
      <c r="M963" s="11">
        <v>18.5</v>
      </c>
      <c r="N963" s="11">
        <v>12.5</v>
      </c>
      <c r="O963" s="11">
        <v>5.5</v>
      </c>
      <c r="P963" s="11">
        <v>-1.5</v>
      </c>
      <c r="Q963" s="11">
        <v>-7.1</v>
      </c>
      <c r="R963" s="10">
        <v>5.0999999999999996</v>
      </c>
      <c r="S963" s="12">
        <v>197</v>
      </c>
      <c r="T963" s="8" t="s">
        <v>1105</v>
      </c>
      <c r="U963" s="11">
        <v>-34</v>
      </c>
      <c r="V963" s="11">
        <v>-31</v>
      </c>
      <c r="W963" s="11">
        <v>-29</v>
      </c>
      <c r="X963" s="11">
        <v>-27</v>
      </c>
      <c r="Y963" s="11">
        <v>-15</v>
      </c>
      <c r="Z963" s="11">
        <v>-38</v>
      </c>
      <c r="AA963" s="11">
        <v>6.8</v>
      </c>
      <c r="AB963" s="11">
        <v>141</v>
      </c>
      <c r="AC963" s="11">
        <v>-6.6</v>
      </c>
      <c r="AD963" s="11">
        <v>202</v>
      </c>
      <c r="AE963" s="11">
        <v>-3.4</v>
      </c>
      <c r="AF963" s="11">
        <v>218</v>
      </c>
      <c r="AG963" s="11">
        <v>-2.5</v>
      </c>
      <c r="AH963" s="11">
        <v>85</v>
      </c>
      <c r="AI963" s="11">
        <v>84</v>
      </c>
      <c r="AJ963" s="11">
        <v>248</v>
      </c>
      <c r="AK963" s="11" t="s">
        <v>39</v>
      </c>
      <c r="AL963" s="11">
        <v>5.9</v>
      </c>
      <c r="AM963" s="10">
        <v>4.8</v>
      </c>
      <c r="AN963" s="9">
        <v>197</v>
      </c>
      <c r="AO963" s="8" t="s">
        <v>1104</v>
      </c>
      <c r="AP963" s="8">
        <v>995</v>
      </c>
      <c r="AQ963" s="8">
        <v>23.5</v>
      </c>
      <c r="AR963" s="8">
        <v>27.5</v>
      </c>
      <c r="AS963" s="8">
        <v>25.9</v>
      </c>
      <c r="AT963" s="8">
        <v>39</v>
      </c>
      <c r="AU963" s="8">
        <v>11.6</v>
      </c>
      <c r="AV963" s="8">
        <v>66</v>
      </c>
      <c r="AW963" s="8">
        <v>51</v>
      </c>
      <c r="AX963" s="8">
        <v>382</v>
      </c>
      <c r="AY963" s="8">
        <v>69</v>
      </c>
      <c r="AZ963" s="8" t="s">
        <v>54</v>
      </c>
      <c r="BA963" s="7">
        <v>4.0999999999999996</v>
      </c>
      <c r="BB963" s="9"/>
      <c r="BC963" s="8" t="s">
        <v>1103</v>
      </c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7"/>
    </row>
    <row r="964" spans="1:68" ht="14.25" customHeight="1">
      <c r="A964" s="12">
        <v>307</v>
      </c>
      <c r="B964" s="14">
        <v>217</v>
      </c>
      <c r="C964" s="13" t="s">
        <v>30</v>
      </c>
      <c r="D964" s="13" t="s">
        <v>61</v>
      </c>
      <c r="E964" s="13" t="s">
        <v>1100</v>
      </c>
      <c r="F964" s="11">
        <v>-13.2</v>
      </c>
      <c r="G964" s="11">
        <v>-13.8</v>
      </c>
      <c r="H964" s="11">
        <v>-10.199999999999999</v>
      </c>
      <c r="I964" s="11">
        <v>-3.8</v>
      </c>
      <c r="J964" s="11">
        <v>2.4</v>
      </c>
      <c r="K964" s="11">
        <v>9.1</v>
      </c>
      <c r="L964" s="11">
        <v>13</v>
      </c>
      <c r="M964" s="11">
        <v>11.1</v>
      </c>
      <c r="N964" s="11">
        <v>5.6</v>
      </c>
      <c r="O964" s="11">
        <v>-0.9</v>
      </c>
      <c r="P964" s="11">
        <v>-6.2</v>
      </c>
      <c r="Q964" s="11">
        <v>-10.4</v>
      </c>
      <c r="R964" s="10">
        <v>-1.4</v>
      </c>
      <c r="S964" s="12">
        <v>217</v>
      </c>
      <c r="T964" s="8" t="s">
        <v>1102</v>
      </c>
      <c r="U964" s="11">
        <v>-40</v>
      </c>
      <c r="V964" s="11">
        <v>-38</v>
      </c>
      <c r="W964" s="11">
        <v>-33</v>
      </c>
      <c r="X964" s="11">
        <v>-31</v>
      </c>
      <c r="Y964" s="11">
        <v>-19</v>
      </c>
      <c r="Z964" s="11">
        <v>-47</v>
      </c>
      <c r="AA964" s="11">
        <v>10.3</v>
      </c>
      <c r="AB964" s="11">
        <v>204</v>
      </c>
      <c r="AC964" s="11">
        <v>-8.5</v>
      </c>
      <c r="AD964" s="11">
        <v>281</v>
      </c>
      <c r="AE964" s="11">
        <v>-5</v>
      </c>
      <c r="AF964" s="11">
        <v>304</v>
      </c>
      <c r="AG964" s="11">
        <v>-4</v>
      </c>
      <c r="AH964" s="11">
        <v>85</v>
      </c>
      <c r="AI964" s="11">
        <v>85</v>
      </c>
      <c r="AJ964" s="11">
        <v>114</v>
      </c>
      <c r="AK964" s="11" t="s">
        <v>48</v>
      </c>
      <c r="AL964" s="11">
        <v>3.9</v>
      </c>
      <c r="AM964" s="10">
        <v>3.3</v>
      </c>
      <c r="AN964" s="9">
        <v>217</v>
      </c>
      <c r="AO964" s="8" t="s">
        <v>1101</v>
      </c>
      <c r="AP964" s="8">
        <v>990</v>
      </c>
      <c r="AQ964" s="8">
        <v>15.8</v>
      </c>
      <c r="AR964" s="8">
        <v>20.3</v>
      </c>
      <c r="AS964" s="8">
        <v>18.2</v>
      </c>
      <c r="AT964" s="8">
        <v>34</v>
      </c>
      <c r="AU964" s="8">
        <v>10.4</v>
      </c>
      <c r="AV964" s="8">
        <v>72</v>
      </c>
      <c r="AW964" s="8">
        <v>59</v>
      </c>
      <c r="AX964" s="8">
        <v>335</v>
      </c>
      <c r="AY964" s="8">
        <v>51</v>
      </c>
      <c r="AZ964" s="8" t="s">
        <v>25</v>
      </c>
      <c r="BA964" s="7">
        <v>0</v>
      </c>
      <c r="BB964" s="9">
        <v>192</v>
      </c>
      <c r="BC964" s="8" t="s">
        <v>1100</v>
      </c>
      <c r="BD964" s="8">
        <v>2.2000000000000002</v>
      </c>
      <c r="BE964" s="8">
        <v>2.1</v>
      </c>
      <c r="BF964" s="8">
        <v>2.6</v>
      </c>
      <c r="BG964" s="8">
        <v>3.8</v>
      </c>
      <c r="BH964" s="8">
        <v>5.4</v>
      </c>
      <c r="BI964" s="8">
        <v>8.1</v>
      </c>
      <c r="BJ964" s="8">
        <v>10.7</v>
      </c>
      <c r="BK964" s="8">
        <v>10.5</v>
      </c>
      <c r="BL964" s="8">
        <v>8</v>
      </c>
      <c r="BM964" s="8">
        <v>5.3</v>
      </c>
      <c r="BN964" s="8">
        <v>3.7</v>
      </c>
      <c r="BO964" s="8">
        <v>2.7</v>
      </c>
      <c r="BP964" s="7">
        <v>5.4</v>
      </c>
    </row>
    <row r="965" spans="1:68" ht="14.25" customHeight="1">
      <c r="A965" s="12">
        <v>308</v>
      </c>
      <c r="B965" s="14">
        <v>639</v>
      </c>
      <c r="C965" s="13" t="s">
        <v>52</v>
      </c>
      <c r="D965" s="13" t="s">
        <v>255</v>
      </c>
      <c r="E965" s="13" t="s">
        <v>1098</v>
      </c>
      <c r="F965" s="11">
        <v>-6.5</v>
      </c>
      <c r="G965" s="11">
        <v>-5.2</v>
      </c>
      <c r="H965" s="11">
        <v>0</v>
      </c>
      <c r="I965" s="11">
        <v>9.1</v>
      </c>
      <c r="J965" s="11">
        <v>15.7</v>
      </c>
      <c r="K965" s="11">
        <v>19.2</v>
      </c>
      <c r="L965" s="11">
        <v>20.8</v>
      </c>
      <c r="M965" s="11">
        <v>19.899999999999999</v>
      </c>
      <c r="N965" s="11">
        <v>14.6</v>
      </c>
      <c r="O965" s="11">
        <v>7.6</v>
      </c>
      <c r="P965" s="11">
        <v>1.7</v>
      </c>
      <c r="Q965" s="11">
        <v>-2.9</v>
      </c>
      <c r="R965" s="10">
        <v>7.8</v>
      </c>
      <c r="S965" s="12">
        <v>628</v>
      </c>
      <c r="T965" s="8" t="s">
        <v>1098</v>
      </c>
      <c r="U965" s="11">
        <v>-30</v>
      </c>
      <c r="V965" s="11">
        <v>-27</v>
      </c>
      <c r="W965" s="11">
        <v>-26</v>
      </c>
      <c r="X965" s="11">
        <v>-22</v>
      </c>
      <c r="Y965" s="11">
        <v>-10</v>
      </c>
      <c r="Z965" s="11">
        <v>-35</v>
      </c>
      <c r="AA965" s="11" t="s">
        <v>49</v>
      </c>
      <c r="AB965" s="11">
        <v>108</v>
      </c>
      <c r="AC965" s="11">
        <v>-4.3</v>
      </c>
      <c r="AD965" s="11">
        <v>176</v>
      </c>
      <c r="AE965" s="11">
        <v>-1.3</v>
      </c>
      <c r="AF965" s="11">
        <v>192</v>
      </c>
      <c r="AG965" s="11">
        <v>-0.4</v>
      </c>
      <c r="AH965" s="11" t="s">
        <v>49</v>
      </c>
      <c r="AI965" s="11" t="s">
        <v>49</v>
      </c>
      <c r="AJ965" s="11">
        <v>230</v>
      </c>
      <c r="AK965" s="11" t="s">
        <v>66</v>
      </c>
      <c r="AL965" s="11" t="s">
        <v>44</v>
      </c>
      <c r="AM965" s="10" t="s">
        <v>44</v>
      </c>
      <c r="AN965" s="9">
        <v>629</v>
      </c>
      <c r="AO965" s="8" t="s">
        <v>1099</v>
      </c>
      <c r="AP965" s="8">
        <v>995</v>
      </c>
      <c r="AQ965" s="8">
        <v>30</v>
      </c>
      <c r="AR965" s="8">
        <v>26</v>
      </c>
      <c r="AS965" s="8">
        <v>26.8</v>
      </c>
      <c r="AT965" s="8">
        <v>38</v>
      </c>
      <c r="AU965" s="8" t="s">
        <v>46</v>
      </c>
      <c r="AV965" s="8" t="s">
        <v>45</v>
      </c>
      <c r="AW965" s="8" t="s">
        <v>44</v>
      </c>
      <c r="AX965" s="8" t="s">
        <v>44</v>
      </c>
      <c r="AY965" s="8">
        <v>75</v>
      </c>
      <c r="AZ965" s="8" t="s">
        <v>37</v>
      </c>
      <c r="BA965" s="7">
        <v>0.7</v>
      </c>
      <c r="BB965" s="9"/>
      <c r="BC965" s="8" t="s">
        <v>1098</v>
      </c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7"/>
    </row>
    <row r="966" spans="1:68" ht="14.25" customHeight="1">
      <c r="A966" s="12">
        <v>309</v>
      </c>
      <c r="B966" s="14">
        <v>117</v>
      </c>
      <c r="C966" s="13" t="s">
        <v>30</v>
      </c>
      <c r="D966" s="13" t="s">
        <v>293</v>
      </c>
      <c r="E966" s="13" t="s">
        <v>1095</v>
      </c>
      <c r="F966" s="11">
        <v>-5.0999999999999996</v>
      </c>
      <c r="G966" s="11">
        <v>-5.9</v>
      </c>
      <c r="H966" s="11">
        <v>-4.4000000000000004</v>
      </c>
      <c r="I966" s="11">
        <v>-1.5</v>
      </c>
      <c r="J966" s="11">
        <v>1.1000000000000001</v>
      </c>
      <c r="K966" s="11">
        <v>4.0999999999999996</v>
      </c>
      <c r="L966" s="11">
        <v>7.5</v>
      </c>
      <c r="M966" s="11">
        <v>9.4</v>
      </c>
      <c r="N966" s="11">
        <v>8.6999999999999993</v>
      </c>
      <c r="O966" s="11">
        <v>5.2</v>
      </c>
      <c r="P966" s="11">
        <v>0.3</v>
      </c>
      <c r="Q966" s="11">
        <v>-3.1</v>
      </c>
      <c r="R966" s="10">
        <v>1.3</v>
      </c>
      <c r="S966" s="12">
        <v>117</v>
      </c>
      <c r="T966" s="8" t="s">
        <v>1097</v>
      </c>
      <c r="U966" s="11">
        <v>-18</v>
      </c>
      <c r="V966" s="11">
        <v>-15</v>
      </c>
      <c r="W966" s="11">
        <v>-15</v>
      </c>
      <c r="X966" s="11">
        <v>-13</v>
      </c>
      <c r="Y966" s="11">
        <v>-10</v>
      </c>
      <c r="Z966" s="11">
        <v>-21</v>
      </c>
      <c r="AA966" s="11">
        <v>3.7</v>
      </c>
      <c r="AB966" s="11">
        <v>166</v>
      </c>
      <c r="AC966" s="11">
        <v>-3.5</v>
      </c>
      <c r="AD966" s="11">
        <v>306</v>
      </c>
      <c r="AE966" s="11">
        <v>0</v>
      </c>
      <c r="AF966" s="11">
        <v>365</v>
      </c>
      <c r="AG966" s="11">
        <v>1.3</v>
      </c>
      <c r="AH966" s="11">
        <v>84</v>
      </c>
      <c r="AI966" s="11">
        <v>83</v>
      </c>
      <c r="AJ966" s="11" t="s">
        <v>84</v>
      </c>
      <c r="AK966" s="11" t="s">
        <v>75</v>
      </c>
      <c r="AL966" s="11" t="s">
        <v>44</v>
      </c>
      <c r="AM966" s="10">
        <v>10.1</v>
      </c>
      <c r="AN966" s="9">
        <v>117</v>
      </c>
      <c r="AO966" s="8" t="s">
        <v>1096</v>
      </c>
      <c r="AP966" s="8">
        <v>1005</v>
      </c>
      <c r="AQ966" s="8">
        <v>9</v>
      </c>
      <c r="AR966" s="8">
        <v>13.8</v>
      </c>
      <c r="AS966" s="8">
        <v>11.4</v>
      </c>
      <c r="AT966" s="8">
        <v>20</v>
      </c>
      <c r="AU966" s="8">
        <v>3.5</v>
      </c>
      <c r="AV966" s="8">
        <v>97</v>
      </c>
      <c r="AW966" s="8">
        <v>95</v>
      </c>
      <c r="AX966" s="8">
        <v>629</v>
      </c>
      <c r="AY966" s="8">
        <v>72</v>
      </c>
      <c r="AZ966" s="8" t="s">
        <v>54</v>
      </c>
      <c r="BA966" s="7" t="s">
        <v>46</v>
      </c>
      <c r="BB966" s="9">
        <v>101</v>
      </c>
      <c r="BC966" s="8" t="s">
        <v>1095</v>
      </c>
      <c r="BD966" s="8">
        <v>3.7</v>
      </c>
      <c r="BE966" s="8">
        <v>3.5</v>
      </c>
      <c r="BF966" s="8">
        <v>3.9</v>
      </c>
      <c r="BG966" s="8">
        <v>4.9000000000000004</v>
      </c>
      <c r="BH966" s="8">
        <v>6.2</v>
      </c>
      <c r="BI966" s="8">
        <v>7.8</v>
      </c>
      <c r="BJ966" s="8">
        <v>10</v>
      </c>
      <c r="BK966" s="8">
        <v>11.4</v>
      </c>
      <c r="BL966" s="8">
        <v>10.5</v>
      </c>
      <c r="BM966" s="8">
        <v>7.8</v>
      </c>
      <c r="BN966" s="8">
        <v>5.3</v>
      </c>
      <c r="BO966" s="8">
        <v>4.2</v>
      </c>
      <c r="BP966" s="7">
        <v>6</v>
      </c>
    </row>
    <row r="967" spans="1:68" ht="14.25" customHeight="1">
      <c r="A967" s="12">
        <v>310</v>
      </c>
      <c r="B967" s="14">
        <v>133</v>
      </c>
      <c r="C967" s="13" t="s">
        <v>30</v>
      </c>
      <c r="D967" s="13" t="s">
        <v>599</v>
      </c>
      <c r="E967" s="13" t="s">
        <v>1092</v>
      </c>
      <c r="F967" s="11">
        <v>-12.1</v>
      </c>
      <c r="G967" s="11">
        <v>-12.4</v>
      </c>
      <c r="H967" s="11">
        <v>-8.3000000000000007</v>
      </c>
      <c r="I967" s="11">
        <v>-1.7</v>
      </c>
      <c r="J967" s="11">
        <v>4.7</v>
      </c>
      <c r="K967" s="11">
        <v>11.6</v>
      </c>
      <c r="L967" s="11">
        <v>14.8</v>
      </c>
      <c r="M967" s="11">
        <v>12.8</v>
      </c>
      <c r="N967" s="11">
        <v>7.2</v>
      </c>
      <c r="O967" s="11">
        <v>1</v>
      </c>
      <c r="P967" s="11">
        <v>-4.4000000000000004</v>
      </c>
      <c r="Q967" s="11">
        <v>-8.5</v>
      </c>
      <c r="R967" s="10">
        <v>0.4</v>
      </c>
      <c r="S967" s="12">
        <v>133</v>
      </c>
      <c r="T967" s="8" t="s">
        <v>1094</v>
      </c>
      <c r="U967" s="11">
        <v>-38</v>
      </c>
      <c r="V967" s="11">
        <v>-36</v>
      </c>
      <c r="W967" s="11">
        <v>-34</v>
      </c>
      <c r="X967" s="11">
        <v>-31</v>
      </c>
      <c r="Y967" s="11">
        <v>-17</v>
      </c>
      <c r="Z967" s="11">
        <v>-47</v>
      </c>
      <c r="AA967" s="11">
        <v>8.6999999999999993</v>
      </c>
      <c r="AB967" s="11">
        <v>184</v>
      </c>
      <c r="AC967" s="11">
        <v>-7.6</v>
      </c>
      <c r="AD967" s="11">
        <v>261</v>
      </c>
      <c r="AE967" s="11">
        <v>-4.2</v>
      </c>
      <c r="AF967" s="11">
        <v>281</v>
      </c>
      <c r="AG967" s="11">
        <v>-3.2</v>
      </c>
      <c r="AH967" s="11">
        <v>86</v>
      </c>
      <c r="AI967" s="11">
        <v>86</v>
      </c>
      <c r="AJ967" s="11">
        <v>159</v>
      </c>
      <c r="AK967" s="11" t="s">
        <v>39</v>
      </c>
      <c r="AL967" s="11" t="s">
        <v>44</v>
      </c>
      <c r="AM967" s="10">
        <v>3.1</v>
      </c>
      <c r="AN967" s="9">
        <v>133</v>
      </c>
      <c r="AO967" s="8" t="s">
        <v>1093</v>
      </c>
      <c r="AP967" s="8">
        <v>1000</v>
      </c>
      <c r="AQ967" s="8">
        <v>17.399999999999999</v>
      </c>
      <c r="AR967" s="8">
        <v>21.8</v>
      </c>
      <c r="AS967" s="8">
        <v>19.8</v>
      </c>
      <c r="AT967" s="8">
        <v>33</v>
      </c>
      <c r="AU967" s="8">
        <v>10.6</v>
      </c>
      <c r="AV967" s="8">
        <v>71</v>
      </c>
      <c r="AW967" s="8">
        <v>58</v>
      </c>
      <c r="AX967" s="8">
        <v>383</v>
      </c>
      <c r="AY967" s="8">
        <v>60</v>
      </c>
      <c r="AZ967" s="8" t="s">
        <v>82</v>
      </c>
      <c r="BA967" s="7">
        <v>3.1</v>
      </c>
      <c r="BB967" s="9">
        <v>116</v>
      </c>
      <c r="BC967" s="8" t="s">
        <v>1092</v>
      </c>
      <c r="BD967" s="8">
        <v>2.4</v>
      </c>
      <c r="BE967" s="8">
        <v>2.2999999999999998</v>
      </c>
      <c r="BF967" s="8">
        <v>2.9</v>
      </c>
      <c r="BG967" s="8">
        <v>4.0999999999999996</v>
      </c>
      <c r="BH967" s="8">
        <v>5.8</v>
      </c>
      <c r="BI967" s="8">
        <v>9.1999999999999993</v>
      </c>
      <c r="BJ967" s="8">
        <v>11.9</v>
      </c>
      <c r="BK967" s="8">
        <v>11.7</v>
      </c>
      <c r="BL967" s="8">
        <v>8.6999999999999993</v>
      </c>
      <c r="BM967" s="8">
        <v>5.9</v>
      </c>
      <c r="BN967" s="8">
        <v>4.3</v>
      </c>
      <c r="BO967" s="8">
        <v>3.2</v>
      </c>
      <c r="BP967" s="7">
        <v>6</v>
      </c>
    </row>
    <row r="968" spans="1:68" ht="14.25" customHeight="1">
      <c r="A968" s="12">
        <v>311</v>
      </c>
      <c r="B968" s="14">
        <v>632</v>
      </c>
      <c r="C968" s="13" t="s">
        <v>52</v>
      </c>
      <c r="D968" s="13" t="s">
        <v>769</v>
      </c>
      <c r="E968" s="13" t="s">
        <v>1090</v>
      </c>
      <c r="F968" s="11">
        <v>-6.4</v>
      </c>
      <c r="G968" s="11">
        <v>-5.2</v>
      </c>
      <c r="H968" s="11">
        <v>-0.1</v>
      </c>
      <c r="I968" s="11">
        <v>8.6</v>
      </c>
      <c r="J968" s="11">
        <v>15.5</v>
      </c>
      <c r="K968" s="11">
        <v>18.600000000000001</v>
      </c>
      <c r="L968" s="11">
        <v>19.8</v>
      </c>
      <c r="M968" s="11">
        <v>18.899999999999999</v>
      </c>
      <c r="N968" s="11">
        <v>13.9</v>
      </c>
      <c r="O968" s="11">
        <v>7.5</v>
      </c>
      <c r="P968" s="11">
        <v>1.4</v>
      </c>
      <c r="Q968" s="11">
        <v>-3.1</v>
      </c>
      <c r="R968" s="10">
        <v>7.5</v>
      </c>
      <c r="S968" s="12">
        <v>621</v>
      </c>
      <c r="T968" s="8" t="s">
        <v>1090</v>
      </c>
      <c r="U968" s="11">
        <v>-29</v>
      </c>
      <c r="V968" s="11">
        <v>-26</v>
      </c>
      <c r="W968" s="11">
        <v>-25</v>
      </c>
      <c r="X968" s="11">
        <v>-23</v>
      </c>
      <c r="Y968" s="11">
        <v>-11</v>
      </c>
      <c r="Z968" s="11">
        <v>-34</v>
      </c>
      <c r="AA968" s="11" t="s">
        <v>49</v>
      </c>
      <c r="AB968" s="11">
        <v>112</v>
      </c>
      <c r="AC968" s="11">
        <v>-4.2</v>
      </c>
      <c r="AD968" s="11">
        <v>179</v>
      </c>
      <c r="AE968" s="11">
        <v>-1.2</v>
      </c>
      <c r="AF968" s="11">
        <v>195</v>
      </c>
      <c r="AG968" s="11">
        <v>-0.4</v>
      </c>
      <c r="AH968" s="11" t="s">
        <v>49</v>
      </c>
      <c r="AI968" s="11" t="s">
        <v>49</v>
      </c>
      <c r="AJ968" s="11">
        <v>247</v>
      </c>
      <c r="AK968" s="11" t="s">
        <v>27</v>
      </c>
      <c r="AL968" s="11" t="s">
        <v>44</v>
      </c>
      <c r="AM968" s="10" t="s">
        <v>44</v>
      </c>
      <c r="AN968" s="9">
        <v>622</v>
      </c>
      <c r="AO968" s="8" t="s">
        <v>1091</v>
      </c>
      <c r="AP968" s="8">
        <v>1000</v>
      </c>
      <c r="AQ968" s="8">
        <v>27</v>
      </c>
      <c r="AR968" s="8">
        <v>24</v>
      </c>
      <c r="AS968" s="8">
        <v>25.7</v>
      </c>
      <c r="AT968" s="8">
        <v>38</v>
      </c>
      <c r="AU968" s="8" t="s">
        <v>46</v>
      </c>
      <c r="AV968" s="8" t="s">
        <v>45</v>
      </c>
      <c r="AW968" s="8" t="s">
        <v>44</v>
      </c>
      <c r="AX968" s="8" t="s">
        <v>44</v>
      </c>
      <c r="AY968" s="8">
        <v>84</v>
      </c>
      <c r="AZ968" s="8" t="s">
        <v>54</v>
      </c>
      <c r="BA968" s="7">
        <v>1.5</v>
      </c>
      <c r="BB968" s="9"/>
      <c r="BC968" s="8" t="s">
        <v>1090</v>
      </c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7"/>
    </row>
    <row r="969" spans="1:68" ht="14.25" customHeight="1">
      <c r="A969" s="12">
        <v>312</v>
      </c>
      <c r="B969" s="14">
        <v>624</v>
      </c>
      <c r="C969" s="13" t="s">
        <v>52</v>
      </c>
      <c r="D969" s="13" t="s">
        <v>1089</v>
      </c>
      <c r="E969" s="13" t="s">
        <v>1087</v>
      </c>
      <c r="F969" s="11">
        <v>-5.9</v>
      </c>
      <c r="G969" s="11">
        <v>-4.8</v>
      </c>
      <c r="H969" s="11">
        <v>0.8</v>
      </c>
      <c r="I969" s="11">
        <v>10</v>
      </c>
      <c r="J969" s="11">
        <v>16.3</v>
      </c>
      <c r="K969" s="11">
        <v>19.899999999999999</v>
      </c>
      <c r="L969" s="11">
        <v>21.7</v>
      </c>
      <c r="M969" s="11">
        <v>20.6</v>
      </c>
      <c r="N969" s="11">
        <v>15</v>
      </c>
      <c r="O969" s="11">
        <v>7.9</v>
      </c>
      <c r="P969" s="11">
        <v>2.4</v>
      </c>
      <c r="Q969" s="11">
        <v>-2.2000000000000002</v>
      </c>
      <c r="R969" s="10">
        <v>8.5</v>
      </c>
      <c r="S969" s="12">
        <v>613</v>
      </c>
      <c r="T969" s="8" t="s">
        <v>1087</v>
      </c>
      <c r="U969" s="11">
        <v>-32</v>
      </c>
      <c r="V969" s="11">
        <v>-29</v>
      </c>
      <c r="W969" s="11">
        <v>-27</v>
      </c>
      <c r="X969" s="11">
        <v>-25</v>
      </c>
      <c r="Y969" s="11">
        <v>-10</v>
      </c>
      <c r="Z969" s="11">
        <v>-42</v>
      </c>
      <c r="AA969" s="11" t="s">
        <v>49</v>
      </c>
      <c r="AB969" s="11">
        <v>100</v>
      </c>
      <c r="AC969" s="11">
        <v>-4.0999999999999996</v>
      </c>
      <c r="AD969" s="11">
        <v>172</v>
      </c>
      <c r="AE969" s="11">
        <v>-0.8</v>
      </c>
      <c r="AF969" s="11">
        <v>188</v>
      </c>
      <c r="AG969" s="11">
        <v>0</v>
      </c>
      <c r="AH969" s="11" t="s">
        <v>49</v>
      </c>
      <c r="AI969" s="11" t="s">
        <v>49</v>
      </c>
      <c r="AJ969" s="11">
        <v>179</v>
      </c>
      <c r="AK969" s="11" t="s">
        <v>66</v>
      </c>
      <c r="AL969" s="11" t="s">
        <v>44</v>
      </c>
      <c r="AM969" s="10" t="s">
        <v>44</v>
      </c>
      <c r="AN969" s="9">
        <v>614</v>
      </c>
      <c r="AO969" s="8" t="s">
        <v>1088</v>
      </c>
      <c r="AP969" s="8">
        <v>1010</v>
      </c>
      <c r="AQ969" s="8">
        <v>30</v>
      </c>
      <c r="AR969" s="8">
        <v>26</v>
      </c>
      <c r="AS969" s="8">
        <v>27.8</v>
      </c>
      <c r="AT969" s="8">
        <v>41</v>
      </c>
      <c r="AU969" s="8" t="s">
        <v>46</v>
      </c>
      <c r="AV969" s="8" t="s">
        <v>45</v>
      </c>
      <c r="AW969" s="8" t="s">
        <v>44</v>
      </c>
      <c r="AX969" s="8" t="s">
        <v>44</v>
      </c>
      <c r="AY969" s="8">
        <v>80</v>
      </c>
      <c r="AZ969" s="8" t="s">
        <v>43</v>
      </c>
      <c r="BA969" s="7">
        <v>1.4</v>
      </c>
      <c r="BB969" s="9"/>
      <c r="BC969" s="8" t="s">
        <v>1087</v>
      </c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7"/>
    </row>
    <row r="970" spans="1:68" ht="14.25" customHeight="1">
      <c r="A970" s="12">
        <v>313</v>
      </c>
      <c r="B970" s="14">
        <v>609</v>
      </c>
      <c r="C970" s="13" t="s">
        <v>52</v>
      </c>
      <c r="D970" s="13" t="s">
        <v>1086</v>
      </c>
      <c r="E970" s="13" t="s">
        <v>1084</v>
      </c>
      <c r="F970" s="11">
        <v>-4.9000000000000004</v>
      </c>
      <c r="G970" s="11">
        <v>-3.5</v>
      </c>
      <c r="H970" s="11">
        <v>0.9</v>
      </c>
      <c r="I970" s="11">
        <v>8</v>
      </c>
      <c r="J970" s="11">
        <v>13.5</v>
      </c>
      <c r="K970" s="11">
        <v>16.8</v>
      </c>
      <c r="L970" s="11">
        <v>18</v>
      </c>
      <c r="M970" s="11">
        <v>17.399999999999999</v>
      </c>
      <c r="N970" s="11">
        <v>13.3</v>
      </c>
      <c r="O970" s="11">
        <v>7.9</v>
      </c>
      <c r="P970" s="11">
        <v>2.6</v>
      </c>
      <c r="Q970" s="11">
        <v>-2</v>
      </c>
      <c r="R970" s="10">
        <v>7.3</v>
      </c>
      <c r="S970" s="12">
        <v>598</v>
      </c>
      <c r="T970" s="8" t="s">
        <v>1084</v>
      </c>
      <c r="U970" s="11">
        <v>-27</v>
      </c>
      <c r="V970" s="11">
        <v>-24</v>
      </c>
      <c r="W970" s="11">
        <v>-22</v>
      </c>
      <c r="X970" s="11">
        <v>-20</v>
      </c>
      <c r="Y970" s="11">
        <v>-8</v>
      </c>
      <c r="Z970" s="11">
        <v>-34</v>
      </c>
      <c r="AA970" s="11" t="s">
        <v>49</v>
      </c>
      <c r="AB970" s="11">
        <v>99</v>
      </c>
      <c r="AC970" s="11">
        <v>-3.3</v>
      </c>
      <c r="AD970" s="11">
        <v>179</v>
      </c>
      <c r="AE970" s="11">
        <v>-0.1</v>
      </c>
      <c r="AF970" s="11">
        <v>199</v>
      </c>
      <c r="AG970" s="11">
        <v>0.8</v>
      </c>
      <c r="AH970" s="11" t="s">
        <v>49</v>
      </c>
      <c r="AI970" s="11" t="s">
        <v>49</v>
      </c>
      <c r="AJ970" s="11">
        <v>162</v>
      </c>
      <c r="AK970" s="11" t="s">
        <v>27</v>
      </c>
      <c r="AL970" s="11" t="s">
        <v>44</v>
      </c>
      <c r="AM970" s="10" t="s">
        <v>44</v>
      </c>
      <c r="AN970" s="9">
        <v>599</v>
      </c>
      <c r="AO970" s="8" t="s">
        <v>1085</v>
      </c>
      <c r="AP970" s="8">
        <v>990</v>
      </c>
      <c r="AQ970" s="8">
        <v>26</v>
      </c>
      <c r="AR970" s="8">
        <v>22</v>
      </c>
      <c r="AS970" s="8">
        <v>23.6</v>
      </c>
      <c r="AT970" s="8">
        <v>36</v>
      </c>
      <c r="AU970" s="8" t="s">
        <v>46</v>
      </c>
      <c r="AV970" s="8" t="s">
        <v>45</v>
      </c>
      <c r="AW970" s="8" t="s">
        <v>44</v>
      </c>
      <c r="AX970" s="8" t="s">
        <v>44</v>
      </c>
      <c r="AY970" s="8">
        <v>114</v>
      </c>
      <c r="AZ970" s="8" t="s">
        <v>43</v>
      </c>
      <c r="BA970" s="7">
        <v>1.9</v>
      </c>
      <c r="BB970" s="9"/>
      <c r="BC970" s="8" t="s">
        <v>1084</v>
      </c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7"/>
    </row>
    <row r="971" spans="1:68" ht="14.25" customHeight="1">
      <c r="A971" s="12">
        <v>314</v>
      </c>
      <c r="B971" s="14">
        <v>625</v>
      </c>
      <c r="C971" s="13" t="s">
        <v>52</v>
      </c>
      <c r="D971" s="13" t="s">
        <v>1083</v>
      </c>
      <c r="E971" s="13" t="s">
        <v>1081</v>
      </c>
      <c r="F971" s="11">
        <v>-4.5999999999999996</v>
      </c>
      <c r="G971" s="11">
        <v>-3.1</v>
      </c>
      <c r="H971" s="11">
        <v>1.1000000000000001</v>
      </c>
      <c r="I971" s="11">
        <v>7.7</v>
      </c>
      <c r="J971" s="11">
        <v>13.2</v>
      </c>
      <c r="K971" s="11">
        <v>16.100000000000001</v>
      </c>
      <c r="L971" s="11">
        <v>17.3</v>
      </c>
      <c r="M971" s="11">
        <v>16.8</v>
      </c>
      <c r="N971" s="11">
        <v>13</v>
      </c>
      <c r="O971" s="11">
        <v>8</v>
      </c>
      <c r="P971" s="11">
        <v>2.5</v>
      </c>
      <c r="Q971" s="11">
        <v>-2.1</v>
      </c>
      <c r="R971" s="10">
        <v>7.2</v>
      </c>
      <c r="S971" s="12">
        <v>614</v>
      </c>
      <c r="T971" s="8" t="s">
        <v>1081</v>
      </c>
      <c r="U971" s="11">
        <v>-25</v>
      </c>
      <c r="V971" s="11">
        <v>-24</v>
      </c>
      <c r="W971" s="11">
        <v>-20</v>
      </c>
      <c r="X971" s="11">
        <v>-19</v>
      </c>
      <c r="Y971" s="11">
        <v>-9</v>
      </c>
      <c r="Z971" s="11">
        <v>-34</v>
      </c>
      <c r="AA971" s="11" t="s">
        <v>49</v>
      </c>
      <c r="AB971" s="11">
        <v>99</v>
      </c>
      <c r="AC971" s="11">
        <v>-3</v>
      </c>
      <c r="AD971" s="11">
        <v>179</v>
      </c>
      <c r="AE971" s="11">
        <v>0</v>
      </c>
      <c r="AF971" s="11">
        <v>201</v>
      </c>
      <c r="AG971" s="11">
        <v>1</v>
      </c>
      <c r="AH971" s="11" t="s">
        <v>49</v>
      </c>
      <c r="AI971" s="11" t="s">
        <v>49</v>
      </c>
      <c r="AJ971" s="11">
        <v>231</v>
      </c>
      <c r="AK971" s="11" t="s">
        <v>27</v>
      </c>
      <c r="AL971" s="11">
        <v>5.8</v>
      </c>
      <c r="AM971" s="10" t="s">
        <v>44</v>
      </c>
      <c r="AN971" s="9">
        <v>615</v>
      </c>
      <c r="AO971" s="8" t="s">
        <v>1082</v>
      </c>
      <c r="AP971" s="8">
        <v>975</v>
      </c>
      <c r="AQ971" s="8">
        <v>26</v>
      </c>
      <c r="AR971" s="8">
        <v>22</v>
      </c>
      <c r="AS971" s="8">
        <v>22.9</v>
      </c>
      <c r="AT971" s="8">
        <v>37</v>
      </c>
      <c r="AU971" s="8" t="s">
        <v>46</v>
      </c>
      <c r="AV971" s="8" t="s">
        <v>45</v>
      </c>
      <c r="AW971" s="8" t="s">
        <v>44</v>
      </c>
      <c r="AX971" s="8" t="s">
        <v>44</v>
      </c>
      <c r="AY971" s="8">
        <v>92</v>
      </c>
      <c r="AZ971" s="8" t="s">
        <v>43</v>
      </c>
      <c r="BA971" s="7">
        <v>2</v>
      </c>
      <c r="BB971" s="9"/>
      <c r="BC971" s="8" t="s">
        <v>1081</v>
      </c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7"/>
    </row>
    <row r="972" spans="1:68" ht="14.25" customHeight="1">
      <c r="A972" s="12">
        <v>315</v>
      </c>
      <c r="B972" s="14">
        <v>628</v>
      </c>
      <c r="C972" s="13" t="s">
        <v>52</v>
      </c>
      <c r="D972" s="13" t="s">
        <v>660</v>
      </c>
      <c r="E972" s="13" t="s">
        <v>1079</v>
      </c>
      <c r="F972" s="11">
        <v>-5</v>
      </c>
      <c r="G972" s="11">
        <v>-3.5</v>
      </c>
      <c r="H972" s="11">
        <v>1.1000000000000001</v>
      </c>
      <c r="I972" s="11">
        <v>9.1</v>
      </c>
      <c r="J972" s="11">
        <v>15.2</v>
      </c>
      <c r="K972" s="11">
        <v>18.5</v>
      </c>
      <c r="L972" s="11">
        <v>20</v>
      </c>
      <c r="M972" s="11">
        <v>19.5</v>
      </c>
      <c r="N972" s="11">
        <v>15.2</v>
      </c>
      <c r="O972" s="11">
        <v>8.8000000000000007</v>
      </c>
      <c r="P972" s="11">
        <v>2.9</v>
      </c>
      <c r="Q972" s="11">
        <v>-1.3</v>
      </c>
      <c r="R972" s="10">
        <v>8.4</v>
      </c>
      <c r="S972" s="12">
        <v>617</v>
      </c>
      <c r="T972" s="8" t="s">
        <v>1079</v>
      </c>
      <c r="U972" s="11">
        <v>-24</v>
      </c>
      <c r="V972" s="11">
        <v>-21</v>
      </c>
      <c r="W972" s="11">
        <v>-21</v>
      </c>
      <c r="X972" s="11">
        <v>-19</v>
      </c>
      <c r="Y972" s="11">
        <v>-7</v>
      </c>
      <c r="Z972" s="11">
        <v>-30</v>
      </c>
      <c r="AA972" s="11" t="s">
        <v>49</v>
      </c>
      <c r="AB972" s="11">
        <v>93</v>
      </c>
      <c r="AC972" s="11">
        <v>-3.3</v>
      </c>
      <c r="AD972" s="11">
        <v>171</v>
      </c>
      <c r="AE972" s="11">
        <v>-0.2</v>
      </c>
      <c r="AF972" s="11">
        <v>187</v>
      </c>
      <c r="AG972" s="11">
        <v>0.6</v>
      </c>
      <c r="AH972" s="11" t="s">
        <v>49</v>
      </c>
      <c r="AI972" s="11" t="s">
        <v>49</v>
      </c>
      <c r="AJ972" s="11">
        <v>194</v>
      </c>
      <c r="AK972" s="11" t="s">
        <v>27</v>
      </c>
      <c r="AL972" s="11" t="s">
        <v>44</v>
      </c>
      <c r="AM972" s="10" t="s">
        <v>44</v>
      </c>
      <c r="AN972" s="9">
        <v>618</v>
      </c>
      <c r="AO972" s="8" t="s">
        <v>1080</v>
      </c>
      <c r="AP972" s="8">
        <v>995</v>
      </c>
      <c r="AQ972" s="8">
        <v>29</v>
      </c>
      <c r="AR972" s="8">
        <v>24</v>
      </c>
      <c r="AS972" s="8">
        <v>25.9</v>
      </c>
      <c r="AT972" s="8">
        <v>37</v>
      </c>
      <c r="AU972" s="8" t="s">
        <v>46</v>
      </c>
      <c r="AV972" s="8" t="s">
        <v>45</v>
      </c>
      <c r="AW972" s="8" t="s">
        <v>44</v>
      </c>
      <c r="AX972" s="8" t="s">
        <v>44</v>
      </c>
      <c r="AY972" s="8">
        <v>102</v>
      </c>
      <c r="AZ972" s="8" t="s">
        <v>32</v>
      </c>
      <c r="BA972" s="7">
        <v>2.1</v>
      </c>
      <c r="BB972" s="9"/>
      <c r="BC972" s="8" t="s">
        <v>1079</v>
      </c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7"/>
    </row>
    <row r="973" spans="1:68" ht="14.25" customHeight="1">
      <c r="A973" s="12">
        <v>316</v>
      </c>
      <c r="B973" s="14">
        <v>203</v>
      </c>
      <c r="C973" s="13" t="s">
        <v>30</v>
      </c>
      <c r="D973" s="13" t="s">
        <v>537</v>
      </c>
      <c r="E973" s="13" t="s">
        <v>1077</v>
      </c>
      <c r="F973" s="11">
        <v>-17</v>
      </c>
      <c r="G973" s="11">
        <v>-16</v>
      </c>
      <c r="H973" s="11">
        <v>-12.6</v>
      </c>
      <c r="I973" s="11">
        <v>-5.7</v>
      </c>
      <c r="J973" s="11">
        <v>1.3</v>
      </c>
      <c r="K973" s="11">
        <v>6.6</v>
      </c>
      <c r="L973" s="11">
        <v>11.2</v>
      </c>
      <c r="M973" s="11">
        <v>11.5</v>
      </c>
      <c r="N973" s="11">
        <v>7.1</v>
      </c>
      <c r="O973" s="11">
        <v>-2.4</v>
      </c>
      <c r="P973" s="11">
        <v>-11.4</v>
      </c>
      <c r="Q973" s="11">
        <v>-15</v>
      </c>
      <c r="R973" s="10">
        <v>-3.5</v>
      </c>
      <c r="S973" s="12">
        <v>203</v>
      </c>
      <c r="T973" s="8" t="s">
        <v>1078</v>
      </c>
      <c r="U973" s="11">
        <v>-34</v>
      </c>
      <c r="V973" s="11">
        <v>-32</v>
      </c>
      <c r="W973" s="11">
        <v>-31</v>
      </c>
      <c r="X973" s="11">
        <v>-29</v>
      </c>
      <c r="Y973" s="11">
        <v>-22</v>
      </c>
      <c r="Z973" s="11">
        <v>-35</v>
      </c>
      <c r="AA973" s="11">
        <v>5.2</v>
      </c>
      <c r="AB973" s="11">
        <v>214</v>
      </c>
      <c r="AC973" s="11">
        <v>-11.1</v>
      </c>
      <c r="AD973" s="11">
        <v>288</v>
      </c>
      <c r="AE973" s="11">
        <v>-7.1</v>
      </c>
      <c r="AF973" s="11">
        <v>316</v>
      </c>
      <c r="AG973" s="11">
        <v>-5.7</v>
      </c>
      <c r="AH973" s="11">
        <v>63</v>
      </c>
      <c r="AI973" s="11">
        <v>62</v>
      </c>
      <c r="AJ973" s="11">
        <v>114</v>
      </c>
      <c r="AK973" s="11" t="s">
        <v>199</v>
      </c>
      <c r="AL973" s="11">
        <v>7.3</v>
      </c>
      <c r="AM973" s="10">
        <v>5.2</v>
      </c>
      <c r="AN973" s="9">
        <v>203</v>
      </c>
      <c r="AO973" s="8" t="s">
        <v>1077</v>
      </c>
      <c r="AP973" s="8">
        <v>1000</v>
      </c>
      <c r="AQ973" s="8">
        <v>12.8</v>
      </c>
      <c r="AR973" s="8">
        <v>16.100000000000001</v>
      </c>
      <c r="AS973" s="8">
        <v>14.9</v>
      </c>
      <c r="AT973" s="8">
        <v>26</v>
      </c>
      <c r="AU973" s="8">
        <v>6</v>
      </c>
      <c r="AV973" s="8">
        <v>83</v>
      </c>
      <c r="AW973" s="8">
        <v>83</v>
      </c>
      <c r="AX973" s="8">
        <v>412</v>
      </c>
      <c r="AY973" s="8">
        <v>98</v>
      </c>
      <c r="AZ973" s="8" t="s">
        <v>43</v>
      </c>
      <c r="BA973" s="7">
        <v>4.3</v>
      </c>
      <c r="BB973" s="9">
        <v>178</v>
      </c>
      <c r="BC973" s="8" t="s">
        <v>1077</v>
      </c>
      <c r="BD973" s="8">
        <v>1.2</v>
      </c>
      <c r="BE973" s="8">
        <v>1.3</v>
      </c>
      <c r="BF973" s="8">
        <v>1.6</v>
      </c>
      <c r="BG973" s="8">
        <v>3</v>
      </c>
      <c r="BH973" s="8">
        <v>5.2</v>
      </c>
      <c r="BI973" s="8">
        <v>8.1999999999999993</v>
      </c>
      <c r="BJ973" s="8">
        <v>11.1</v>
      </c>
      <c r="BK973" s="8">
        <v>11.3</v>
      </c>
      <c r="BL973" s="8">
        <v>8</v>
      </c>
      <c r="BM973" s="8">
        <v>3.7</v>
      </c>
      <c r="BN973" s="8">
        <v>1.9</v>
      </c>
      <c r="BO973" s="8">
        <v>1.4</v>
      </c>
      <c r="BP973" s="7">
        <v>4.8</v>
      </c>
    </row>
    <row r="974" spans="1:68" ht="14.25" customHeight="1">
      <c r="A974" s="12">
        <v>317</v>
      </c>
      <c r="B974" s="14">
        <v>1</v>
      </c>
      <c r="C974" s="13" t="s">
        <v>30</v>
      </c>
      <c r="D974" s="13" t="s">
        <v>1076</v>
      </c>
      <c r="E974" s="13" t="s">
        <v>1073</v>
      </c>
      <c r="F974" s="11">
        <v>-1.4</v>
      </c>
      <c r="G974" s="11">
        <v>0.3</v>
      </c>
      <c r="H974" s="11">
        <v>4.0999999999999996</v>
      </c>
      <c r="I974" s="11">
        <v>11.3</v>
      </c>
      <c r="J974" s="11">
        <v>16.5</v>
      </c>
      <c r="K974" s="11">
        <v>19.7</v>
      </c>
      <c r="L974" s="11">
        <v>22.2</v>
      </c>
      <c r="M974" s="11">
        <v>21.9</v>
      </c>
      <c r="N974" s="11">
        <v>17.100000000000001</v>
      </c>
      <c r="O974" s="11">
        <v>11.2</v>
      </c>
      <c r="P974" s="11">
        <v>6.2</v>
      </c>
      <c r="Q974" s="11">
        <v>1.4</v>
      </c>
      <c r="R974" s="10">
        <v>10.9</v>
      </c>
      <c r="S974" s="12">
        <v>1</v>
      </c>
      <c r="T974" s="8" t="s">
        <v>1075</v>
      </c>
      <c r="U974" s="11">
        <v>-27</v>
      </c>
      <c r="V974" s="11">
        <v>-22</v>
      </c>
      <c r="W974" s="11">
        <v>-21</v>
      </c>
      <c r="X974" s="11">
        <v>-19</v>
      </c>
      <c r="Y974" s="11">
        <v>-6</v>
      </c>
      <c r="Z974" s="11">
        <v>-34</v>
      </c>
      <c r="AA974" s="11">
        <v>9</v>
      </c>
      <c r="AB974" s="11">
        <v>40</v>
      </c>
      <c r="AC974" s="11">
        <v>-1</v>
      </c>
      <c r="AD974" s="11">
        <v>148</v>
      </c>
      <c r="AE974" s="11">
        <v>2.2999999999999998</v>
      </c>
      <c r="AF974" s="11">
        <v>169</v>
      </c>
      <c r="AG974" s="11">
        <v>3.1</v>
      </c>
      <c r="AH974" s="11">
        <v>79</v>
      </c>
      <c r="AI974" s="11">
        <v>72</v>
      </c>
      <c r="AJ974" s="11">
        <v>276</v>
      </c>
      <c r="AK974" s="11" t="s">
        <v>34</v>
      </c>
      <c r="AL974" s="11">
        <v>5.7</v>
      </c>
      <c r="AM974" s="10">
        <v>3</v>
      </c>
      <c r="AN974" s="9">
        <v>1</v>
      </c>
      <c r="AO974" s="8" t="s">
        <v>1074</v>
      </c>
      <c r="AP974" s="8">
        <v>990</v>
      </c>
      <c r="AQ974" s="8">
        <v>26.6</v>
      </c>
      <c r="AR974" s="8">
        <v>30.6</v>
      </c>
      <c r="AS974" s="8">
        <v>29</v>
      </c>
      <c r="AT974" s="8">
        <v>41</v>
      </c>
      <c r="AU974" s="8">
        <v>12.8</v>
      </c>
      <c r="AV974" s="8">
        <v>67</v>
      </c>
      <c r="AW974" s="8">
        <v>48</v>
      </c>
      <c r="AX974" s="8">
        <v>481</v>
      </c>
      <c r="AY974" s="8">
        <v>88</v>
      </c>
      <c r="AZ974" s="8" t="s">
        <v>151</v>
      </c>
      <c r="BA974" s="7">
        <v>2.1</v>
      </c>
      <c r="BB974" s="9">
        <v>1</v>
      </c>
      <c r="BC974" s="8" t="s">
        <v>1073</v>
      </c>
      <c r="BD974" s="8">
        <v>4.5999999999999996</v>
      </c>
      <c r="BE974" s="8">
        <v>5.0999999999999996</v>
      </c>
      <c r="BF974" s="8">
        <v>5.9</v>
      </c>
      <c r="BG974" s="8">
        <v>8.6999999999999993</v>
      </c>
      <c r="BH974" s="8">
        <v>12.5</v>
      </c>
      <c r="BI974" s="8">
        <v>15.4</v>
      </c>
      <c r="BJ974" s="8">
        <v>17.399999999999999</v>
      </c>
      <c r="BK974" s="8">
        <v>16.8</v>
      </c>
      <c r="BL974" s="8">
        <v>13.5</v>
      </c>
      <c r="BM974" s="8">
        <v>9.9</v>
      </c>
      <c r="BN974" s="8">
        <v>7.6</v>
      </c>
      <c r="BO974" s="8">
        <v>5.7</v>
      </c>
      <c r="BP974" s="7">
        <v>10.3</v>
      </c>
    </row>
    <row r="975" spans="1:68" ht="14.25" customHeight="1">
      <c r="A975" s="12">
        <v>318</v>
      </c>
      <c r="B975" s="14">
        <v>292</v>
      </c>
      <c r="C975" s="13" t="s">
        <v>30</v>
      </c>
      <c r="D975" s="13" t="s">
        <v>72</v>
      </c>
      <c r="E975" s="13" t="s">
        <v>1070</v>
      </c>
      <c r="F975" s="11">
        <v>-14.3</v>
      </c>
      <c r="G975" s="11">
        <v>-12.3</v>
      </c>
      <c r="H975" s="11">
        <v>-6.7</v>
      </c>
      <c r="I975" s="11">
        <v>0.9</v>
      </c>
      <c r="J975" s="11">
        <v>5.3</v>
      </c>
      <c r="K975" s="11">
        <v>9.5</v>
      </c>
      <c r="L975" s="11">
        <v>13.8</v>
      </c>
      <c r="M975" s="11">
        <v>15.7</v>
      </c>
      <c r="N975" s="11">
        <v>12.8</v>
      </c>
      <c r="O975" s="11">
        <v>6</v>
      </c>
      <c r="P975" s="11">
        <v>-3</v>
      </c>
      <c r="Q975" s="11">
        <v>-10.199999999999999</v>
      </c>
      <c r="R975" s="10">
        <v>1.6</v>
      </c>
      <c r="S975" s="12">
        <v>292</v>
      </c>
      <c r="T975" s="8" t="s">
        <v>1072</v>
      </c>
      <c r="U975" s="11">
        <v>-27</v>
      </c>
      <c r="V975" s="11">
        <v>-26</v>
      </c>
      <c r="W975" s="11">
        <v>-24</v>
      </c>
      <c r="X975" s="11">
        <v>-23</v>
      </c>
      <c r="Y975" s="11">
        <v>-19</v>
      </c>
      <c r="Z975" s="11">
        <v>-32</v>
      </c>
      <c r="AA975" s="11">
        <v>8.6</v>
      </c>
      <c r="AB975" s="11">
        <v>158</v>
      </c>
      <c r="AC975" s="11">
        <v>-8.6</v>
      </c>
      <c r="AD975" s="11">
        <v>241</v>
      </c>
      <c r="AE975" s="11">
        <v>-4.2</v>
      </c>
      <c r="AF975" s="11">
        <v>264</v>
      </c>
      <c r="AG975" s="11">
        <v>-3</v>
      </c>
      <c r="AH975" s="11">
        <v>66</v>
      </c>
      <c r="AI975" s="11">
        <v>59</v>
      </c>
      <c r="AJ975" s="11">
        <v>212</v>
      </c>
      <c r="AK975" s="11" t="s">
        <v>75</v>
      </c>
      <c r="AL975" s="11" t="s">
        <v>44</v>
      </c>
      <c r="AM975" s="10">
        <v>3.4</v>
      </c>
      <c r="AN975" s="9">
        <v>286</v>
      </c>
      <c r="AO975" s="8" t="s">
        <v>1071</v>
      </c>
      <c r="AP975" s="8">
        <v>1010</v>
      </c>
      <c r="AQ975" s="8">
        <v>16.8</v>
      </c>
      <c r="AR975" s="8">
        <v>21.2</v>
      </c>
      <c r="AS975" s="8">
        <v>19.2</v>
      </c>
      <c r="AT975" s="8">
        <v>33</v>
      </c>
      <c r="AU975" s="8">
        <v>6.4</v>
      </c>
      <c r="AV975" s="8">
        <v>85</v>
      </c>
      <c r="AW975" s="8">
        <v>81</v>
      </c>
      <c r="AX975" s="8">
        <v>736</v>
      </c>
      <c r="AY975" s="8">
        <v>148</v>
      </c>
      <c r="AZ975" s="8" t="s">
        <v>151</v>
      </c>
      <c r="BA975" s="7" t="s">
        <v>46</v>
      </c>
      <c r="BB975" s="9">
        <v>257</v>
      </c>
      <c r="BC975" s="8" t="s">
        <v>1070</v>
      </c>
      <c r="BD975" s="8">
        <v>1.5</v>
      </c>
      <c r="BE975" s="8">
        <v>1.7</v>
      </c>
      <c r="BF975" s="8">
        <v>2.7</v>
      </c>
      <c r="BG975" s="8">
        <v>4.5999999999999996</v>
      </c>
      <c r="BH975" s="8">
        <v>6.7</v>
      </c>
      <c r="BI975" s="8">
        <v>10</v>
      </c>
      <c r="BJ975" s="8">
        <v>13.9</v>
      </c>
      <c r="BK975" s="8">
        <v>15.1</v>
      </c>
      <c r="BL975" s="8">
        <v>11.6</v>
      </c>
      <c r="BM975" s="8">
        <v>6.8</v>
      </c>
      <c r="BN975" s="8">
        <v>3.5</v>
      </c>
      <c r="BO975" s="8">
        <v>2.1</v>
      </c>
      <c r="BP975" s="7">
        <v>6.7</v>
      </c>
    </row>
    <row r="976" spans="1:68" ht="14.25" customHeight="1">
      <c r="A976" s="12">
        <v>319</v>
      </c>
      <c r="B976" s="14">
        <v>96</v>
      </c>
      <c r="C976" s="13" t="s">
        <v>30</v>
      </c>
      <c r="D976" s="13" t="s">
        <v>300</v>
      </c>
      <c r="E976" s="13" t="s">
        <v>1067</v>
      </c>
      <c r="F976" s="11">
        <v>-28.9</v>
      </c>
      <c r="G976" s="11">
        <v>-23.9</v>
      </c>
      <c r="H976" s="11">
        <v>-14.3</v>
      </c>
      <c r="I976" s="11">
        <v>-2.8</v>
      </c>
      <c r="J976" s="11">
        <v>5.9</v>
      </c>
      <c r="K976" s="11">
        <v>14.1</v>
      </c>
      <c r="L976" s="11">
        <v>17.899999999999999</v>
      </c>
      <c r="M976" s="11">
        <v>14.4</v>
      </c>
      <c r="N976" s="11">
        <v>6.8</v>
      </c>
      <c r="O976" s="11">
        <v>-2.1</v>
      </c>
      <c r="P976" s="11">
        <v>-17.399999999999999</v>
      </c>
      <c r="Q976" s="11">
        <v>-26.1</v>
      </c>
      <c r="R976" s="10">
        <v>-4.7</v>
      </c>
      <c r="S976" s="12">
        <v>96</v>
      </c>
      <c r="T976" s="8" t="s">
        <v>1069</v>
      </c>
      <c r="U976" s="11">
        <v>-50</v>
      </c>
      <c r="V976" s="11">
        <v>-49</v>
      </c>
      <c r="W976" s="11">
        <v>-48</v>
      </c>
      <c r="X976" s="11">
        <v>-46</v>
      </c>
      <c r="Y976" s="11">
        <v>-34</v>
      </c>
      <c r="Z976" s="11">
        <v>-56</v>
      </c>
      <c r="AA976" s="11">
        <v>7.4</v>
      </c>
      <c r="AB976" s="11">
        <v>198</v>
      </c>
      <c r="AC976" s="11">
        <v>-17.3</v>
      </c>
      <c r="AD976" s="11">
        <v>255</v>
      </c>
      <c r="AE976" s="11">
        <v>-12.6</v>
      </c>
      <c r="AF976" s="11">
        <v>271</v>
      </c>
      <c r="AG976" s="11">
        <v>-11.3</v>
      </c>
      <c r="AH976" s="11">
        <v>77</v>
      </c>
      <c r="AI976" s="11">
        <v>76</v>
      </c>
      <c r="AJ976" s="11">
        <v>179</v>
      </c>
      <c r="AK976" s="11" t="s">
        <v>27</v>
      </c>
      <c r="AL976" s="11" t="s">
        <v>44</v>
      </c>
      <c r="AM976" s="10">
        <v>2.7</v>
      </c>
      <c r="AN976" s="9">
        <v>96</v>
      </c>
      <c r="AO976" s="8" t="s">
        <v>1068</v>
      </c>
      <c r="AP976" s="8">
        <v>980</v>
      </c>
      <c r="AQ976" s="8">
        <v>23.4</v>
      </c>
      <c r="AR976" s="8">
        <v>27.5</v>
      </c>
      <c r="AS976" s="8">
        <v>25.8</v>
      </c>
      <c r="AT976" s="8">
        <v>39</v>
      </c>
      <c r="AU976" s="8">
        <v>14.4</v>
      </c>
      <c r="AV976" s="8">
        <v>74</v>
      </c>
      <c r="AW976" s="8">
        <v>53</v>
      </c>
      <c r="AX976" s="8">
        <v>412</v>
      </c>
      <c r="AY976" s="8" t="s">
        <v>64</v>
      </c>
      <c r="AZ976" s="8" t="s">
        <v>54</v>
      </c>
      <c r="BA976" s="7" t="s">
        <v>46</v>
      </c>
      <c r="BB976" s="9">
        <v>80</v>
      </c>
      <c r="BC976" s="8" t="s">
        <v>1067</v>
      </c>
      <c r="BD976" s="8">
        <v>0.7</v>
      </c>
      <c r="BE976" s="8">
        <v>0.9</v>
      </c>
      <c r="BF976" s="8">
        <v>1.6</v>
      </c>
      <c r="BG976" s="8">
        <v>3.5</v>
      </c>
      <c r="BH976" s="8">
        <v>5.8</v>
      </c>
      <c r="BI976" s="8">
        <v>10.8</v>
      </c>
      <c r="BJ976" s="8">
        <v>15.1</v>
      </c>
      <c r="BK976" s="8">
        <v>13.2</v>
      </c>
      <c r="BL976" s="8">
        <v>8</v>
      </c>
      <c r="BM976" s="8">
        <v>4.2</v>
      </c>
      <c r="BN976" s="8">
        <v>1.5</v>
      </c>
      <c r="BO976" s="8">
        <v>0.8</v>
      </c>
      <c r="BP976" s="7">
        <v>5.5</v>
      </c>
    </row>
    <row r="977" spans="1:68" ht="14.25" customHeight="1">
      <c r="A977" s="12">
        <v>320</v>
      </c>
      <c r="B977" s="14">
        <v>481</v>
      </c>
      <c r="C977" s="13" t="s">
        <v>105</v>
      </c>
      <c r="D977" s="13" t="s">
        <v>105</v>
      </c>
      <c r="E977" s="13" t="s">
        <v>1066</v>
      </c>
      <c r="F977" s="11">
        <v>-11.6</v>
      </c>
      <c r="G977" s="11">
        <v>-11.1</v>
      </c>
      <c r="H977" s="11">
        <v>-8.6999999999999993</v>
      </c>
      <c r="I977" s="11">
        <v>-3.4</v>
      </c>
      <c r="J977" s="11">
        <v>0.8</v>
      </c>
      <c r="K977" s="11">
        <v>4.2</v>
      </c>
      <c r="L977" s="11">
        <v>7.9</v>
      </c>
      <c r="M977" s="11">
        <v>7.6</v>
      </c>
      <c r="N977" s="11">
        <v>4.3</v>
      </c>
      <c r="O977" s="11">
        <v>-1</v>
      </c>
      <c r="P977" s="11">
        <v>-5.3</v>
      </c>
      <c r="Q977" s="11">
        <v>-9.4</v>
      </c>
      <c r="R977" s="10">
        <v>-2.1</v>
      </c>
      <c r="S977" s="12">
        <v>481</v>
      </c>
      <c r="T977" s="8" t="s">
        <v>1064</v>
      </c>
      <c r="U977" s="11">
        <v>-21</v>
      </c>
      <c r="V977" s="11">
        <v>-18</v>
      </c>
      <c r="W977" s="11">
        <v>-17</v>
      </c>
      <c r="X977" s="11">
        <v>-14</v>
      </c>
      <c r="Y977" s="11">
        <v>-5</v>
      </c>
      <c r="Z977" s="11">
        <v>-35</v>
      </c>
      <c r="AA977" s="11">
        <v>5.5</v>
      </c>
      <c r="AB977" s="11">
        <v>210</v>
      </c>
      <c r="AC977" s="11">
        <v>-7.2</v>
      </c>
      <c r="AD977" s="11">
        <v>365</v>
      </c>
      <c r="AE977" s="11">
        <v>-2.1</v>
      </c>
      <c r="AF977" s="11">
        <v>365</v>
      </c>
      <c r="AG977" s="11">
        <v>-2.1</v>
      </c>
      <c r="AH977" s="11" t="s">
        <v>49</v>
      </c>
      <c r="AI977" s="11">
        <v>81</v>
      </c>
      <c r="AJ977" s="11">
        <v>321</v>
      </c>
      <c r="AK977" s="11" t="s">
        <v>48</v>
      </c>
      <c r="AL977" s="11" t="s">
        <v>44</v>
      </c>
      <c r="AM977" s="10">
        <v>8</v>
      </c>
      <c r="AN977" s="9">
        <v>481</v>
      </c>
      <c r="AO977" s="8" t="s">
        <v>1065</v>
      </c>
      <c r="AP977" s="8">
        <v>720</v>
      </c>
      <c r="AQ977" s="8">
        <v>11</v>
      </c>
      <c r="AR977" s="8">
        <v>18</v>
      </c>
      <c r="AS977" s="8">
        <v>12.2</v>
      </c>
      <c r="AT977" s="8">
        <v>25</v>
      </c>
      <c r="AU977" s="8">
        <v>7.9</v>
      </c>
      <c r="AV977" s="8">
        <v>83</v>
      </c>
      <c r="AW977" s="8">
        <v>75</v>
      </c>
      <c r="AX977" s="8" t="s">
        <v>44</v>
      </c>
      <c r="AY977" s="8">
        <v>114</v>
      </c>
      <c r="AZ977" s="8" t="s">
        <v>43</v>
      </c>
      <c r="BA977" s="7">
        <v>2.5</v>
      </c>
      <c r="BB977" s="9"/>
      <c r="BC977" s="8" t="s">
        <v>1064</v>
      </c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7"/>
    </row>
    <row r="978" spans="1:68" ht="14.25" customHeight="1">
      <c r="A978" s="12">
        <v>321</v>
      </c>
      <c r="B978" s="14">
        <v>263</v>
      </c>
      <c r="C978" s="13" t="s">
        <v>30</v>
      </c>
      <c r="D978" s="13" t="s">
        <v>154</v>
      </c>
      <c r="E978" s="13" t="s">
        <v>1061</v>
      </c>
      <c r="F978" s="11">
        <v>-12.7</v>
      </c>
      <c r="G978" s="11">
        <v>-9.9</v>
      </c>
      <c r="H978" s="11">
        <v>-3.2</v>
      </c>
      <c r="I978" s="11">
        <v>4</v>
      </c>
      <c r="J978" s="11">
        <v>9.1</v>
      </c>
      <c r="K978" s="11">
        <v>13</v>
      </c>
      <c r="L978" s="11">
        <v>17.600000000000001</v>
      </c>
      <c r="M978" s="11">
        <v>19.2</v>
      </c>
      <c r="N978" s="11">
        <v>14.1</v>
      </c>
      <c r="O978" s="11">
        <v>7</v>
      </c>
      <c r="P978" s="11">
        <v>-1.9</v>
      </c>
      <c r="Q978" s="11">
        <v>-10.1</v>
      </c>
      <c r="R978" s="10">
        <v>3.9</v>
      </c>
      <c r="S978" s="12">
        <v>263</v>
      </c>
      <c r="T978" s="8" t="s">
        <v>1063</v>
      </c>
      <c r="U978" s="11">
        <v>-26</v>
      </c>
      <c r="V978" s="11">
        <v>-25</v>
      </c>
      <c r="W978" s="11">
        <v>-22</v>
      </c>
      <c r="X978" s="11">
        <v>-21</v>
      </c>
      <c r="Y978" s="11">
        <v>-14</v>
      </c>
      <c r="Z978" s="11">
        <v>-36</v>
      </c>
      <c r="AA978" s="11">
        <v>14.7</v>
      </c>
      <c r="AB978" s="11">
        <v>144</v>
      </c>
      <c r="AC978" s="11">
        <v>-8</v>
      </c>
      <c r="AD978" s="11">
        <v>209</v>
      </c>
      <c r="AE978" s="11">
        <v>-4.0999999999999996</v>
      </c>
      <c r="AF978" s="11">
        <v>227</v>
      </c>
      <c r="AG978" s="11">
        <v>-3</v>
      </c>
      <c r="AH978" s="11">
        <v>58</v>
      </c>
      <c r="AI978" s="11">
        <v>52</v>
      </c>
      <c r="AJ978" s="11">
        <v>147</v>
      </c>
      <c r="AK978" s="11" t="s">
        <v>75</v>
      </c>
      <c r="AL978" s="11" t="s">
        <v>44</v>
      </c>
      <c r="AM978" s="10">
        <v>2</v>
      </c>
      <c r="AN978" s="9">
        <v>263</v>
      </c>
      <c r="AO978" s="8" t="s">
        <v>1062</v>
      </c>
      <c r="AP978" s="8">
        <v>1010</v>
      </c>
      <c r="AQ978" s="8">
        <v>23</v>
      </c>
      <c r="AR978" s="8">
        <v>27</v>
      </c>
      <c r="AS978" s="8">
        <v>24.2</v>
      </c>
      <c r="AT978" s="8">
        <v>40</v>
      </c>
      <c r="AU978" s="8">
        <v>10.1</v>
      </c>
      <c r="AV978" s="8">
        <v>87</v>
      </c>
      <c r="AW978" s="8">
        <v>79</v>
      </c>
      <c r="AX978" s="8">
        <v>677</v>
      </c>
      <c r="AY978" s="8">
        <v>167</v>
      </c>
      <c r="AZ978" s="8" t="s">
        <v>25</v>
      </c>
      <c r="BA978" s="7" t="s">
        <v>46</v>
      </c>
      <c r="BB978" s="9">
        <v>234</v>
      </c>
      <c r="BC978" s="8" t="s">
        <v>1061</v>
      </c>
      <c r="BD978" s="8">
        <v>1.4</v>
      </c>
      <c r="BE978" s="8">
        <v>1.8</v>
      </c>
      <c r="BF978" s="8">
        <v>3.1</v>
      </c>
      <c r="BG978" s="8">
        <v>5.2</v>
      </c>
      <c r="BH978" s="8">
        <v>8.1999999999999993</v>
      </c>
      <c r="BI978" s="8">
        <v>12.9</v>
      </c>
      <c r="BJ978" s="8">
        <v>17.7</v>
      </c>
      <c r="BK978" s="8">
        <v>19.2</v>
      </c>
      <c r="BL978" s="8">
        <v>13.1</v>
      </c>
      <c r="BM978" s="8">
        <v>7.1</v>
      </c>
      <c r="BN978" s="8">
        <v>3.5</v>
      </c>
      <c r="BO978" s="8">
        <v>1.8</v>
      </c>
      <c r="BP978" s="7">
        <v>7.9</v>
      </c>
    </row>
    <row r="979" spans="1:68" ht="14.25" customHeight="1">
      <c r="A979" s="12">
        <v>322</v>
      </c>
      <c r="B979" s="14">
        <v>142</v>
      </c>
      <c r="C979" s="13" t="s">
        <v>30</v>
      </c>
      <c r="D979" s="13" t="s">
        <v>325</v>
      </c>
      <c r="E979" s="13" t="s">
        <v>1058</v>
      </c>
      <c r="F979" s="11">
        <v>-17.8</v>
      </c>
      <c r="G979" s="11">
        <v>-16.2</v>
      </c>
      <c r="H979" s="11">
        <v>-9.3000000000000007</v>
      </c>
      <c r="I979" s="11">
        <v>0.8</v>
      </c>
      <c r="J979" s="11">
        <v>9</v>
      </c>
      <c r="K979" s="11">
        <v>15.9</v>
      </c>
      <c r="L979" s="11">
        <v>18.3</v>
      </c>
      <c r="M979" s="11">
        <v>15.2</v>
      </c>
      <c r="N979" s="11">
        <v>9.1</v>
      </c>
      <c r="O979" s="11">
        <v>1</v>
      </c>
      <c r="P979" s="11">
        <v>-9.1</v>
      </c>
      <c r="Q979" s="11">
        <v>-16.2</v>
      </c>
      <c r="R979" s="10">
        <v>0.1</v>
      </c>
      <c r="S979" s="12">
        <v>142</v>
      </c>
      <c r="T979" s="8" t="s">
        <v>1060</v>
      </c>
      <c r="U979" s="11">
        <v>-47</v>
      </c>
      <c r="V979" s="11">
        <v>-43</v>
      </c>
      <c r="W979" s="11">
        <v>-44</v>
      </c>
      <c r="X979" s="11">
        <v>-40</v>
      </c>
      <c r="Y979" s="11">
        <v>-23</v>
      </c>
      <c r="Z979" s="11">
        <v>-55</v>
      </c>
      <c r="AA979" s="11">
        <v>9.5</v>
      </c>
      <c r="AB979" s="11">
        <v>176</v>
      </c>
      <c r="AC979" s="11">
        <v>-11.6</v>
      </c>
      <c r="AD979" s="11">
        <v>235</v>
      </c>
      <c r="AE979" s="11">
        <v>-7.7</v>
      </c>
      <c r="AF979" s="11">
        <v>251</v>
      </c>
      <c r="AG979" s="11">
        <v>-6.6</v>
      </c>
      <c r="AH979" s="11">
        <v>80</v>
      </c>
      <c r="AI979" s="11">
        <v>77</v>
      </c>
      <c r="AJ979" s="11">
        <v>99</v>
      </c>
      <c r="AK979" s="11" t="s">
        <v>39</v>
      </c>
      <c r="AL979" s="11">
        <v>5.7</v>
      </c>
      <c r="AM979" s="10" t="s">
        <v>44</v>
      </c>
      <c r="AN979" s="9">
        <v>142</v>
      </c>
      <c r="AO979" s="8" t="s">
        <v>1059</v>
      </c>
      <c r="AP979" s="8">
        <v>995</v>
      </c>
      <c r="AQ979" s="8">
        <v>22.1</v>
      </c>
      <c r="AR979" s="8">
        <v>26.2</v>
      </c>
      <c r="AS979" s="8">
        <v>24.5</v>
      </c>
      <c r="AT979" s="8">
        <v>37</v>
      </c>
      <c r="AU979" s="8">
        <v>12.4</v>
      </c>
      <c r="AV979" s="8">
        <v>74</v>
      </c>
      <c r="AW979" s="8">
        <v>57</v>
      </c>
      <c r="AX979" s="8">
        <v>346</v>
      </c>
      <c r="AY979" s="8">
        <v>69</v>
      </c>
      <c r="AZ979" s="8" t="s">
        <v>82</v>
      </c>
      <c r="BA979" s="7">
        <v>0</v>
      </c>
      <c r="BB979" s="9">
        <v>125</v>
      </c>
      <c r="BC979" s="8" t="s">
        <v>1058</v>
      </c>
      <c r="BD979" s="8">
        <v>1.5</v>
      </c>
      <c r="BE979" s="8">
        <v>1.6</v>
      </c>
      <c r="BF979" s="8">
        <v>2.6</v>
      </c>
      <c r="BG979" s="8">
        <v>4.5999999999999996</v>
      </c>
      <c r="BH979" s="8">
        <v>7</v>
      </c>
      <c r="BI979" s="8">
        <v>12</v>
      </c>
      <c r="BJ979" s="8">
        <v>15.3</v>
      </c>
      <c r="BK979" s="8">
        <v>13.3</v>
      </c>
      <c r="BL979" s="8">
        <v>8.9</v>
      </c>
      <c r="BM979" s="8">
        <v>5.2</v>
      </c>
      <c r="BN979" s="8">
        <v>2.8</v>
      </c>
      <c r="BO979" s="8">
        <v>1.8</v>
      </c>
      <c r="BP979" s="7">
        <v>6.4</v>
      </c>
    </row>
    <row r="980" spans="1:68" ht="14.25" customHeight="1">
      <c r="A980" s="12">
        <v>323</v>
      </c>
      <c r="B980" s="14">
        <v>97</v>
      </c>
      <c r="C980" s="13" t="s">
        <v>30</v>
      </c>
      <c r="D980" s="13" t="s">
        <v>300</v>
      </c>
      <c r="E980" s="13" t="s">
        <v>1055</v>
      </c>
      <c r="F980" s="11">
        <v>-27.8</v>
      </c>
      <c r="G980" s="11">
        <v>-23.3</v>
      </c>
      <c r="H980" s="11">
        <v>-13.7</v>
      </c>
      <c r="I980" s="11">
        <v>-1.8</v>
      </c>
      <c r="J980" s="11">
        <v>7.1</v>
      </c>
      <c r="K980" s="11">
        <v>15.2</v>
      </c>
      <c r="L980" s="11">
        <v>18</v>
      </c>
      <c r="M980" s="11">
        <v>14.7</v>
      </c>
      <c r="N980" s="11">
        <v>7.1</v>
      </c>
      <c r="O980" s="11">
        <v>-2</v>
      </c>
      <c r="P980" s="11">
        <v>-15.8</v>
      </c>
      <c r="Q980" s="11">
        <v>-26</v>
      </c>
      <c r="R980" s="10">
        <v>-4</v>
      </c>
      <c r="S980" s="12">
        <v>97</v>
      </c>
      <c r="T980" s="8" t="s">
        <v>1057</v>
      </c>
      <c r="U980" s="11">
        <v>-53</v>
      </c>
      <c r="V980" s="11">
        <v>-51</v>
      </c>
      <c r="W980" s="11">
        <v>-51</v>
      </c>
      <c r="X980" s="11">
        <v>-49</v>
      </c>
      <c r="Y980" s="11">
        <v>-33</v>
      </c>
      <c r="Z980" s="11">
        <v>-55</v>
      </c>
      <c r="AA980" s="11">
        <v>11.1</v>
      </c>
      <c r="AB980" s="11">
        <v>194</v>
      </c>
      <c r="AC980" s="11">
        <v>-16.899999999999999</v>
      </c>
      <c r="AD980" s="11">
        <v>250</v>
      </c>
      <c r="AE980" s="11">
        <v>-12.3</v>
      </c>
      <c r="AF980" s="11">
        <v>265</v>
      </c>
      <c r="AG980" s="11">
        <v>-11</v>
      </c>
      <c r="AH980" s="11">
        <v>78</v>
      </c>
      <c r="AI980" s="11">
        <v>76</v>
      </c>
      <c r="AJ980" s="11">
        <v>117</v>
      </c>
      <c r="AK980" s="11" t="s">
        <v>48</v>
      </c>
      <c r="AL980" s="11">
        <v>4.2</v>
      </c>
      <c r="AM980" s="10">
        <v>1.8</v>
      </c>
      <c r="AN980" s="9">
        <v>97</v>
      </c>
      <c r="AO980" s="8" t="s">
        <v>1056</v>
      </c>
      <c r="AP980" s="8">
        <v>975</v>
      </c>
      <c r="AQ980" s="8">
        <v>23.2</v>
      </c>
      <c r="AR980" s="8">
        <v>27.3</v>
      </c>
      <c r="AS980" s="8">
        <v>25.6</v>
      </c>
      <c r="AT980" s="8">
        <v>37</v>
      </c>
      <c r="AU980" s="8">
        <v>14.6</v>
      </c>
      <c r="AV980" s="8">
        <v>74</v>
      </c>
      <c r="AW980" s="8">
        <v>54</v>
      </c>
      <c r="AX980" s="8">
        <v>316</v>
      </c>
      <c r="AY980" s="8" t="s">
        <v>64</v>
      </c>
      <c r="AZ980" s="8" t="s">
        <v>43</v>
      </c>
      <c r="BA980" s="7">
        <v>0</v>
      </c>
      <c r="BB980" s="9">
        <v>81</v>
      </c>
      <c r="BC980" s="8" t="s">
        <v>1055</v>
      </c>
      <c r="BD980" s="8">
        <v>0.7</v>
      </c>
      <c r="BE980" s="8">
        <v>0.9</v>
      </c>
      <c r="BF980" s="8">
        <v>1.7</v>
      </c>
      <c r="BG980" s="8">
        <v>3.6</v>
      </c>
      <c r="BH980" s="8">
        <v>5.6</v>
      </c>
      <c r="BI980" s="8">
        <v>10.8</v>
      </c>
      <c r="BJ980" s="8">
        <v>14.6</v>
      </c>
      <c r="BK980" s="8">
        <v>12.7</v>
      </c>
      <c r="BL980" s="8">
        <v>7.8</v>
      </c>
      <c r="BM980" s="8">
        <v>4.5</v>
      </c>
      <c r="BN980" s="8">
        <v>1.7</v>
      </c>
      <c r="BO980" s="8">
        <v>1</v>
      </c>
      <c r="BP980" s="7">
        <v>5.5</v>
      </c>
    </row>
    <row r="981" spans="1:68" ht="14.25" customHeight="1">
      <c r="A981" s="12">
        <v>324</v>
      </c>
      <c r="B981" s="14">
        <v>395</v>
      </c>
      <c r="C981" s="13" t="s">
        <v>30</v>
      </c>
      <c r="D981" s="13" t="s">
        <v>80</v>
      </c>
      <c r="E981" s="13" t="s">
        <v>1055</v>
      </c>
      <c r="F981" s="11">
        <v>-25.8</v>
      </c>
      <c r="G981" s="11">
        <v>-25.4</v>
      </c>
      <c r="H981" s="11">
        <v>-23</v>
      </c>
      <c r="I981" s="11">
        <v>-14.3</v>
      </c>
      <c r="J981" s="11">
        <v>-1.5</v>
      </c>
      <c r="K981" s="11">
        <v>10.5</v>
      </c>
      <c r="L981" s="11">
        <v>13.7</v>
      </c>
      <c r="M981" s="11">
        <v>10.5</v>
      </c>
      <c r="N981" s="11">
        <v>3.5</v>
      </c>
      <c r="O981" s="11">
        <v>-8.9</v>
      </c>
      <c r="P981" s="11">
        <v>-19.5</v>
      </c>
      <c r="Q981" s="11">
        <v>-25.6</v>
      </c>
      <c r="R981" s="10">
        <v>-8.8000000000000007</v>
      </c>
      <c r="S981" s="12">
        <v>395</v>
      </c>
      <c r="T981" s="8" t="s">
        <v>1057</v>
      </c>
      <c r="U981" s="11">
        <v>-52</v>
      </c>
      <c r="V981" s="11">
        <v>-50</v>
      </c>
      <c r="W981" s="11">
        <v>-51</v>
      </c>
      <c r="X981" s="11">
        <v>-48</v>
      </c>
      <c r="Y981" s="11">
        <v>-31</v>
      </c>
      <c r="Z981" s="11">
        <v>-60</v>
      </c>
      <c r="AA981" s="11">
        <v>11</v>
      </c>
      <c r="AB981" s="11">
        <v>238</v>
      </c>
      <c r="AC981" s="11">
        <v>-18.100000000000001</v>
      </c>
      <c r="AD981" s="11">
        <v>286</v>
      </c>
      <c r="AE981" s="11">
        <v>-14.3</v>
      </c>
      <c r="AF981" s="11">
        <v>300</v>
      </c>
      <c r="AG981" s="11">
        <v>-13.2</v>
      </c>
      <c r="AH981" s="11">
        <v>79</v>
      </c>
      <c r="AI981" s="11">
        <v>77</v>
      </c>
      <c r="AJ981" s="11">
        <v>103</v>
      </c>
      <c r="AK981" s="11" t="s">
        <v>56</v>
      </c>
      <c r="AL981" s="11">
        <v>6</v>
      </c>
      <c r="AM981" s="10">
        <v>2.2999999999999998</v>
      </c>
      <c r="AN981" s="9">
        <v>395</v>
      </c>
      <c r="AO981" s="8" t="s">
        <v>1056</v>
      </c>
      <c r="AP981" s="8">
        <v>1010</v>
      </c>
      <c r="AQ981" s="8">
        <v>17</v>
      </c>
      <c r="AR981" s="8">
        <v>21.7</v>
      </c>
      <c r="AS981" s="8">
        <v>19.2</v>
      </c>
      <c r="AT981" s="8">
        <v>33</v>
      </c>
      <c r="AU981" s="8">
        <v>11.1</v>
      </c>
      <c r="AV981" s="8">
        <v>73</v>
      </c>
      <c r="AW981" s="8">
        <v>70</v>
      </c>
      <c r="AX981" s="8">
        <v>229</v>
      </c>
      <c r="AY981" s="8">
        <v>44</v>
      </c>
      <c r="AZ981" s="8" t="s">
        <v>37</v>
      </c>
      <c r="BA981" s="7">
        <v>0</v>
      </c>
      <c r="BB981" s="9">
        <v>359</v>
      </c>
      <c r="BC981" s="8" t="s">
        <v>1055</v>
      </c>
      <c r="BD981" s="8">
        <v>1.2</v>
      </c>
      <c r="BE981" s="8">
        <v>0.9</v>
      </c>
      <c r="BF981" s="8">
        <v>1</v>
      </c>
      <c r="BG981" s="8">
        <v>1.9</v>
      </c>
      <c r="BH981" s="8">
        <v>4.5999999999999996</v>
      </c>
      <c r="BI981" s="8">
        <v>8.3000000000000007</v>
      </c>
      <c r="BJ981" s="8">
        <v>11</v>
      </c>
      <c r="BK981" s="8">
        <v>9.9</v>
      </c>
      <c r="BL981" s="8">
        <v>6.3</v>
      </c>
      <c r="BM981" s="8">
        <v>2.8</v>
      </c>
      <c r="BN981" s="8">
        <v>1.4</v>
      </c>
      <c r="BO981" s="8">
        <v>1</v>
      </c>
      <c r="BP981" s="7">
        <v>4.2</v>
      </c>
    </row>
    <row r="982" spans="1:68" ht="14.25" customHeight="1">
      <c r="A982" s="12">
        <v>325</v>
      </c>
      <c r="B982" s="14">
        <v>328</v>
      </c>
      <c r="C982" s="13" t="s">
        <v>30</v>
      </c>
      <c r="D982" s="13" t="s">
        <v>259</v>
      </c>
      <c r="E982" s="13" t="s">
        <v>1052</v>
      </c>
      <c r="F982" s="11">
        <v>-21.8</v>
      </c>
      <c r="G982" s="11">
        <v>-21.4</v>
      </c>
      <c r="H982" s="11">
        <v>-20.3</v>
      </c>
      <c r="I982" s="11">
        <v>-13</v>
      </c>
      <c r="J982" s="11">
        <v>-5.5</v>
      </c>
      <c r="K982" s="11">
        <v>1.2</v>
      </c>
      <c r="L982" s="11">
        <v>6.6</v>
      </c>
      <c r="M982" s="11">
        <v>6.7</v>
      </c>
      <c r="N982" s="11">
        <v>3.2</v>
      </c>
      <c r="O982" s="11">
        <v>-4</v>
      </c>
      <c r="P982" s="11">
        <v>-13.1</v>
      </c>
      <c r="Q982" s="11">
        <v>-18.399999999999999</v>
      </c>
      <c r="R982" s="10">
        <v>-8.3000000000000007</v>
      </c>
      <c r="S982" s="12">
        <v>328</v>
      </c>
      <c r="T982" s="8" t="s">
        <v>1054</v>
      </c>
      <c r="U982" s="11">
        <v>-45</v>
      </c>
      <c r="V982" s="11">
        <v>-44</v>
      </c>
      <c r="W982" s="11">
        <v>-41</v>
      </c>
      <c r="X982" s="11">
        <v>-39</v>
      </c>
      <c r="Y982" s="11">
        <v>-26</v>
      </c>
      <c r="Z982" s="11">
        <v>-50</v>
      </c>
      <c r="AA982" s="11">
        <v>6.8</v>
      </c>
      <c r="AB982" s="11">
        <v>252</v>
      </c>
      <c r="AC982" s="11">
        <v>-13.6</v>
      </c>
      <c r="AD982" s="11">
        <v>365</v>
      </c>
      <c r="AE982" s="11">
        <v>-8.1</v>
      </c>
      <c r="AF982" s="11">
        <v>365</v>
      </c>
      <c r="AG982" s="11">
        <v>-8.1</v>
      </c>
      <c r="AH982" s="11">
        <v>86</v>
      </c>
      <c r="AI982" s="11">
        <v>86</v>
      </c>
      <c r="AJ982" s="11" t="s">
        <v>84</v>
      </c>
      <c r="AK982" s="11" t="s">
        <v>39</v>
      </c>
      <c r="AL982" s="11" t="s">
        <v>44</v>
      </c>
      <c r="AM982" s="10">
        <v>7</v>
      </c>
      <c r="AN982" s="9">
        <v>328</v>
      </c>
      <c r="AO982" s="8" t="s">
        <v>1053</v>
      </c>
      <c r="AP982" s="8">
        <v>1010</v>
      </c>
      <c r="AQ982" s="8">
        <v>8.8000000000000007</v>
      </c>
      <c r="AR982" s="8">
        <v>13.6</v>
      </c>
      <c r="AS982" s="8">
        <v>11.2</v>
      </c>
      <c r="AT982" s="8">
        <v>28</v>
      </c>
      <c r="AU982" s="8">
        <v>7.6</v>
      </c>
      <c r="AV982" s="8">
        <v>87</v>
      </c>
      <c r="AW982" s="8">
        <v>85</v>
      </c>
      <c r="AX982" s="8" t="s">
        <v>44</v>
      </c>
      <c r="AY982" s="8" t="s">
        <v>64</v>
      </c>
      <c r="AZ982" s="8" t="s">
        <v>54</v>
      </c>
      <c r="BA982" s="7" t="s">
        <v>46</v>
      </c>
      <c r="BB982" s="9">
        <v>296</v>
      </c>
      <c r="BC982" s="8" t="s">
        <v>1052</v>
      </c>
      <c r="BD982" s="8">
        <v>1.5</v>
      </c>
      <c r="BE982" s="8">
        <v>1.2</v>
      </c>
      <c r="BF982" s="8">
        <v>1.4</v>
      </c>
      <c r="BG982" s="8">
        <v>2.6</v>
      </c>
      <c r="BH982" s="8">
        <v>4</v>
      </c>
      <c r="BI982" s="8">
        <v>6.4</v>
      </c>
      <c r="BJ982" s="8">
        <v>8.8000000000000007</v>
      </c>
      <c r="BK982" s="8">
        <v>9.1999999999999993</v>
      </c>
      <c r="BL982" s="8">
        <v>7.2</v>
      </c>
      <c r="BM982" s="8">
        <v>4.5999999999999996</v>
      </c>
      <c r="BN982" s="8">
        <v>2.7</v>
      </c>
      <c r="BO982" s="8">
        <v>1.9</v>
      </c>
      <c r="BP982" s="7">
        <v>4.3</v>
      </c>
    </row>
    <row r="983" spans="1:68" ht="14.25" customHeight="1">
      <c r="A983" s="12">
        <v>326</v>
      </c>
      <c r="B983" s="14">
        <v>564</v>
      </c>
      <c r="C983" s="17" t="s">
        <v>208</v>
      </c>
      <c r="D983" s="17" t="s">
        <v>484</v>
      </c>
      <c r="E983" s="13" t="s">
        <v>1050</v>
      </c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0"/>
      <c r="S983" s="16">
        <v>564</v>
      </c>
      <c r="T983" s="8" t="s">
        <v>1050</v>
      </c>
      <c r="U983" s="11">
        <v>-18</v>
      </c>
      <c r="V983" s="11">
        <v>-15</v>
      </c>
      <c r="W983" s="11">
        <v>-15</v>
      </c>
      <c r="X983" s="11">
        <v>-12</v>
      </c>
      <c r="Y983" s="11">
        <v>-4</v>
      </c>
      <c r="Z983" s="11">
        <v>-25</v>
      </c>
      <c r="AA983" s="11">
        <v>10.3</v>
      </c>
      <c r="AB983" s="11">
        <v>0</v>
      </c>
      <c r="AC983" s="11" t="s">
        <v>50</v>
      </c>
      <c r="AD983" s="11">
        <v>101</v>
      </c>
      <c r="AE983" s="11">
        <v>4</v>
      </c>
      <c r="AF983" s="11">
        <v>122</v>
      </c>
      <c r="AG983" s="11">
        <v>4.8</v>
      </c>
      <c r="AH983" s="11" t="s">
        <v>49</v>
      </c>
      <c r="AI983" s="11">
        <v>62</v>
      </c>
      <c r="AJ983" s="11">
        <v>99</v>
      </c>
      <c r="AK983" s="11" t="s">
        <v>66</v>
      </c>
      <c r="AL983" s="11">
        <v>5</v>
      </c>
      <c r="AM983" s="10" t="s">
        <v>44</v>
      </c>
      <c r="AN983" s="9">
        <v>565</v>
      </c>
      <c r="AO983" s="8" t="s">
        <v>1051</v>
      </c>
      <c r="AP983" s="8">
        <v>990</v>
      </c>
      <c r="AQ983" s="8">
        <v>41</v>
      </c>
      <c r="AR983" s="8">
        <v>36</v>
      </c>
      <c r="AS983" s="8">
        <v>38.799999999999997</v>
      </c>
      <c r="AT983" s="8">
        <v>46</v>
      </c>
      <c r="AU983" s="8">
        <v>16.8</v>
      </c>
      <c r="AV983" s="8">
        <v>29</v>
      </c>
      <c r="AW983" s="8">
        <v>15</v>
      </c>
      <c r="AX983" s="8">
        <v>47</v>
      </c>
      <c r="AY983" s="8">
        <v>65</v>
      </c>
      <c r="AZ983" s="8" t="s">
        <v>32</v>
      </c>
      <c r="BA983" s="7">
        <v>2.2999999999999998</v>
      </c>
      <c r="BB983" s="9"/>
      <c r="BC983" s="8" t="s">
        <v>1050</v>
      </c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7"/>
    </row>
    <row r="984" spans="1:68" ht="14.25" customHeight="1">
      <c r="A984" s="12">
        <v>327</v>
      </c>
      <c r="B984" s="14">
        <v>79</v>
      </c>
      <c r="C984" s="13" t="s">
        <v>30</v>
      </c>
      <c r="D984" s="13" t="s">
        <v>68</v>
      </c>
      <c r="E984" s="13" t="s">
        <v>1047</v>
      </c>
      <c r="F984" s="11">
        <v>-0.5</v>
      </c>
      <c r="G984" s="11">
        <v>0.2</v>
      </c>
      <c r="H984" s="11">
        <v>3.5</v>
      </c>
      <c r="I984" s="11">
        <v>9.4</v>
      </c>
      <c r="J984" s="11">
        <v>16.3</v>
      </c>
      <c r="K984" s="11">
        <v>21.5</v>
      </c>
      <c r="L984" s="11">
        <v>24.6</v>
      </c>
      <c r="M984" s="11">
        <v>24.1</v>
      </c>
      <c r="N984" s="11">
        <v>19.399999999999999</v>
      </c>
      <c r="O984" s="11">
        <v>13.4</v>
      </c>
      <c r="P984" s="11">
        <v>7.2</v>
      </c>
      <c r="Q984" s="11">
        <v>2.6</v>
      </c>
      <c r="R984" s="10">
        <v>11.8</v>
      </c>
      <c r="S984" s="12">
        <v>79</v>
      </c>
      <c r="T984" s="8" t="s">
        <v>1049</v>
      </c>
      <c r="U984" s="11">
        <v>-21</v>
      </c>
      <c r="V984" s="11">
        <v>-19</v>
      </c>
      <c r="W984" s="11">
        <v>-17</v>
      </c>
      <c r="X984" s="11">
        <v>-14</v>
      </c>
      <c r="Y984" s="11">
        <v>-5</v>
      </c>
      <c r="Z984" s="11">
        <v>-25</v>
      </c>
      <c r="AA984" s="11">
        <v>5.7</v>
      </c>
      <c r="AB984" s="11">
        <v>37</v>
      </c>
      <c r="AC984" s="11">
        <v>-0.4</v>
      </c>
      <c r="AD984" s="11">
        <v>148</v>
      </c>
      <c r="AE984" s="11">
        <v>2.7</v>
      </c>
      <c r="AF984" s="11">
        <v>167</v>
      </c>
      <c r="AG984" s="11">
        <v>3.4</v>
      </c>
      <c r="AH984" s="11">
        <v>83</v>
      </c>
      <c r="AI984" s="11">
        <v>79</v>
      </c>
      <c r="AJ984" s="11">
        <v>185</v>
      </c>
      <c r="AK984" s="11" t="s">
        <v>75</v>
      </c>
      <c r="AL984" s="11">
        <v>8.5</v>
      </c>
      <c r="AM984" s="10">
        <v>5.8</v>
      </c>
      <c r="AN984" s="9">
        <v>79</v>
      </c>
      <c r="AO984" s="8" t="s">
        <v>1048</v>
      </c>
      <c r="AP984" s="8">
        <v>1015</v>
      </c>
      <c r="AQ984" s="8">
        <v>26.2</v>
      </c>
      <c r="AR984" s="8">
        <v>29</v>
      </c>
      <c r="AS984" s="8">
        <v>28.6</v>
      </c>
      <c r="AT984" s="8">
        <v>38</v>
      </c>
      <c r="AU984" s="8">
        <v>7.8</v>
      </c>
      <c r="AV984" s="8">
        <v>64</v>
      </c>
      <c r="AW984" s="8">
        <v>60</v>
      </c>
      <c r="AX984" s="8">
        <v>246</v>
      </c>
      <c r="AY984" s="8">
        <v>104</v>
      </c>
      <c r="AZ984" s="8" t="s">
        <v>25</v>
      </c>
      <c r="BA984" s="7">
        <v>4.9000000000000004</v>
      </c>
      <c r="BB984" s="9">
        <v>64</v>
      </c>
      <c r="BC984" s="8" t="s">
        <v>1047</v>
      </c>
      <c r="BD984" s="8">
        <v>5.3</v>
      </c>
      <c r="BE984" s="8">
        <v>5.5</v>
      </c>
      <c r="BF984" s="8">
        <v>6.6</v>
      </c>
      <c r="BG984" s="8">
        <v>9.1999999999999993</v>
      </c>
      <c r="BH984" s="8">
        <v>13.2</v>
      </c>
      <c r="BI984" s="8">
        <v>16.600000000000001</v>
      </c>
      <c r="BJ984" s="8">
        <v>19.8</v>
      </c>
      <c r="BK984" s="8">
        <v>20</v>
      </c>
      <c r="BL984" s="8">
        <v>16.3</v>
      </c>
      <c r="BM984" s="8">
        <v>11.9</v>
      </c>
      <c r="BN984" s="8">
        <v>8.8000000000000007</v>
      </c>
      <c r="BO984" s="8">
        <v>6.5</v>
      </c>
      <c r="BP984" s="7">
        <v>11.6</v>
      </c>
    </row>
    <row r="985" spans="1:68" ht="14.25" customHeight="1">
      <c r="A985" s="12">
        <v>328</v>
      </c>
      <c r="B985" s="14">
        <v>43</v>
      </c>
      <c r="C985" s="13" t="s">
        <v>30</v>
      </c>
      <c r="D985" s="13" t="s">
        <v>844</v>
      </c>
      <c r="E985" s="13" t="s">
        <v>1044</v>
      </c>
      <c r="F985" s="11">
        <v>-14.3</v>
      </c>
      <c r="G985" s="11">
        <v>-13.7</v>
      </c>
      <c r="H985" s="11">
        <v>-9.5</v>
      </c>
      <c r="I985" s="11">
        <v>-2.6</v>
      </c>
      <c r="J985" s="11">
        <v>3.4</v>
      </c>
      <c r="K985" s="11">
        <v>9.9</v>
      </c>
      <c r="L985" s="11">
        <v>13.6</v>
      </c>
      <c r="M985" s="11">
        <v>11.9</v>
      </c>
      <c r="N985" s="11">
        <v>6.6</v>
      </c>
      <c r="O985" s="11">
        <v>-0.2</v>
      </c>
      <c r="P985" s="11">
        <v>-6.2</v>
      </c>
      <c r="Q985" s="11">
        <v>-11.4</v>
      </c>
      <c r="R985" s="10">
        <v>-1.1000000000000001</v>
      </c>
      <c r="S985" s="12">
        <v>43</v>
      </c>
      <c r="T985" s="8" t="s">
        <v>1046</v>
      </c>
      <c r="U985" s="11">
        <v>-40</v>
      </c>
      <c r="V985" s="11">
        <v>-39</v>
      </c>
      <c r="W985" s="11">
        <v>-36</v>
      </c>
      <c r="X985" s="11">
        <v>-35</v>
      </c>
      <c r="Y985" s="11">
        <v>-19</v>
      </c>
      <c r="Z985" s="11">
        <v>-49</v>
      </c>
      <c r="AA985" s="11">
        <v>7.8</v>
      </c>
      <c r="AB985" s="11">
        <v>196</v>
      </c>
      <c r="AC985" s="11">
        <v>-8.8000000000000007</v>
      </c>
      <c r="AD985" s="11">
        <v>272</v>
      </c>
      <c r="AE985" s="11">
        <v>-5.2</v>
      </c>
      <c r="AF985" s="11">
        <v>293</v>
      </c>
      <c r="AG985" s="11">
        <v>-4.2</v>
      </c>
      <c r="AH985" s="11">
        <v>86</v>
      </c>
      <c r="AI985" s="11">
        <v>86</v>
      </c>
      <c r="AJ985" s="11">
        <v>133</v>
      </c>
      <c r="AK985" s="11" t="s">
        <v>34</v>
      </c>
      <c r="AL985" s="11">
        <v>5.8</v>
      </c>
      <c r="AM985" s="10">
        <v>4.9000000000000004</v>
      </c>
      <c r="AN985" s="9">
        <v>43</v>
      </c>
      <c r="AO985" s="8" t="s">
        <v>1045</v>
      </c>
      <c r="AP985" s="8">
        <v>1010</v>
      </c>
      <c r="AQ985" s="8">
        <v>16.8</v>
      </c>
      <c r="AR985" s="8">
        <v>21.2</v>
      </c>
      <c r="AS985" s="8">
        <v>19.2</v>
      </c>
      <c r="AT985" s="8">
        <v>35</v>
      </c>
      <c r="AU985" s="8">
        <v>10.7</v>
      </c>
      <c r="AV985" s="8">
        <v>75</v>
      </c>
      <c r="AW985" s="8">
        <v>64</v>
      </c>
      <c r="AX985" s="8">
        <v>346</v>
      </c>
      <c r="AY985" s="8">
        <v>51</v>
      </c>
      <c r="AZ985" s="8" t="s">
        <v>32</v>
      </c>
      <c r="BA985" s="7">
        <v>3.8</v>
      </c>
      <c r="BB985" s="9">
        <v>29</v>
      </c>
      <c r="BC985" s="8" t="s">
        <v>1044</v>
      </c>
      <c r="BD985" s="8">
        <v>2.2000000000000002</v>
      </c>
      <c r="BE985" s="8">
        <v>2.1</v>
      </c>
      <c r="BF985" s="8">
        <v>2.8</v>
      </c>
      <c r="BG985" s="8">
        <v>4.0999999999999996</v>
      </c>
      <c r="BH985" s="8">
        <v>5.8</v>
      </c>
      <c r="BI985" s="8">
        <v>9.1</v>
      </c>
      <c r="BJ985" s="8">
        <v>11.9</v>
      </c>
      <c r="BK985" s="8">
        <v>11.6</v>
      </c>
      <c r="BL985" s="8">
        <v>8.6999999999999993</v>
      </c>
      <c r="BM985" s="8">
        <v>5.7</v>
      </c>
      <c r="BN985" s="8">
        <v>4</v>
      </c>
      <c r="BO985" s="8">
        <v>2.9</v>
      </c>
      <c r="BP985" s="7">
        <v>5.9</v>
      </c>
    </row>
    <row r="986" spans="1:68" ht="14.25" customHeight="1">
      <c r="A986" s="12">
        <v>329</v>
      </c>
      <c r="B986" s="14">
        <v>49</v>
      </c>
      <c r="C986" s="13" t="s">
        <v>30</v>
      </c>
      <c r="D986" s="13" t="s">
        <v>41</v>
      </c>
      <c r="E986" s="13" t="s">
        <v>1041</v>
      </c>
      <c r="F986" s="11">
        <v>-15.5</v>
      </c>
      <c r="G986" s="11">
        <v>-14.4</v>
      </c>
      <c r="H986" s="11">
        <v>-7.5</v>
      </c>
      <c r="I986" s="11">
        <v>4.5999999999999996</v>
      </c>
      <c r="J986" s="11">
        <v>13.6</v>
      </c>
      <c r="K986" s="11">
        <v>17.8</v>
      </c>
      <c r="L986" s="11">
        <v>19.600000000000001</v>
      </c>
      <c r="M986" s="11">
        <v>17.899999999999999</v>
      </c>
      <c r="N986" s="11">
        <v>11.7</v>
      </c>
      <c r="O986" s="11">
        <v>3.2</v>
      </c>
      <c r="P986" s="11">
        <v>-5.0999999999999996</v>
      </c>
      <c r="Q986" s="11">
        <v>-11.8</v>
      </c>
      <c r="R986" s="10">
        <v>2.8</v>
      </c>
      <c r="S986" s="12">
        <v>49</v>
      </c>
      <c r="T986" s="8" t="s">
        <v>1043</v>
      </c>
      <c r="U986" s="11">
        <v>-42</v>
      </c>
      <c r="V986" s="11">
        <v>-39</v>
      </c>
      <c r="W986" s="11">
        <v>-38</v>
      </c>
      <c r="X986" s="11">
        <v>-35</v>
      </c>
      <c r="Y986" s="11">
        <v>-20</v>
      </c>
      <c r="Z986" s="11">
        <v>-45</v>
      </c>
      <c r="AA986" s="11">
        <v>8.9</v>
      </c>
      <c r="AB986" s="11">
        <v>158</v>
      </c>
      <c r="AC986" s="11">
        <v>-9.9</v>
      </c>
      <c r="AD986" s="11">
        <v>210</v>
      </c>
      <c r="AE986" s="11">
        <v>-6.4</v>
      </c>
      <c r="AF986" s="11">
        <v>224</v>
      </c>
      <c r="AG986" s="11">
        <v>-5.4</v>
      </c>
      <c r="AH986" s="11">
        <v>80</v>
      </c>
      <c r="AI986" s="11">
        <v>78</v>
      </c>
      <c r="AJ986" s="11">
        <v>151</v>
      </c>
      <c r="AK986" s="11" t="s">
        <v>34</v>
      </c>
      <c r="AL986" s="11">
        <v>5</v>
      </c>
      <c r="AM986" s="10">
        <v>3.4</v>
      </c>
      <c r="AN986" s="9">
        <v>49</v>
      </c>
      <c r="AO986" s="8" t="s">
        <v>1042</v>
      </c>
      <c r="AP986" s="8">
        <v>990</v>
      </c>
      <c r="AQ986" s="8">
        <v>23.8</v>
      </c>
      <c r="AR986" s="8">
        <v>27.9</v>
      </c>
      <c r="AS986" s="8">
        <v>26.2</v>
      </c>
      <c r="AT986" s="8">
        <v>41</v>
      </c>
      <c r="AU986" s="8">
        <v>13.1</v>
      </c>
      <c r="AV986" s="8">
        <v>66</v>
      </c>
      <c r="AW986" s="8">
        <v>49</v>
      </c>
      <c r="AX986" s="8">
        <v>298</v>
      </c>
      <c r="AY986" s="8">
        <v>78</v>
      </c>
      <c r="AZ986" s="8" t="s">
        <v>32</v>
      </c>
      <c r="BA986" s="7">
        <v>0</v>
      </c>
      <c r="BB986" s="9">
        <v>35</v>
      </c>
      <c r="BC986" s="8" t="s">
        <v>1041</v>
      </c>
      <c r="BD986" s="8">
        <v>1.9</v>
      </c>
      <c r="BE986" s="8">
        <v>1.9</v>
      </c>
      <c r="BF986" s="8">
        <v>3.2</v>
      </c>
      <c r="BG986" s="8">
        <v>6</v>
      </c>
      <c r="BH986" s="8">
        <v>8.6999999999999993</v>
      </c>
      <c r="BI986" s="8">
        <v>12.2</v>
      </c>
      <c r="BJ986" s="8">
        <v>14.6</v>
      </c>
      <c r="BK986" s="8">
        <v>12.7</v>
      </c>
      <c r="BL986" s="8">
        <v>9.1</v>
      </c>
      <c r="BM986" s="8">
        <v>6</v>
      </c>
      <c r="BN986" s="8">
        <v>3.9</v>
      </c>
      <c r="BO986" s="8">
        <v>2.5</v>
      </c>
      <c r="BP986" s="7">
        <v>6.9</v>
      </c>
    </row>
    <row r="987" spans="1:68" ht="14.25" customHeight="1">
      <c r="A987" s="12">
        <v>330</v>
      </c>
      <c r="B987" s="14">
        <v>264</v>
      </c>
      <c r="C987" s="13" t="s">
        <v>30</v>
      </c>
      <c r="D987" s="13" t="s">
        <v>154</v>
      </c>
      <c r="E987" s="13" t="s">
        <v>1038</v>
      </c>
      <c r="F987" s="11">
        <v>-22.9</v>
      </c>
      <c r="G987" s="11">
        <v>-18.3</v>
      </c>
      <c r="H987" s="11">
        <v>-8.6999999999999993</v>
      </c>
      <c r="I987" s="11">
        <v>2.1</v>
      </c>
      <c r="J987" s="11">
        <v>9.4</v>
      </c>
      <c r="K987" s="11">
        <v>15</v>
      </c>
      <c r="L987" s="11">
        <v>19.2</v>
      </c>
      <c r="M987" s="11">
        <v>18.2</v>
      </c>
      <c r="N987" s="11">
        <v>11.3</v>
      </c>
      <c r="O987" s="11">
        <v>2.6</v>
      </c>
      <c r="P987" s="11">
        <v>-9.1999999999999993</v>
      </c>
      <c r="Q987" s="11">
        <v>-19.899999999999999</v>
      </c>
      <c r="R987" s="10">
        <v>-0.1</v>
      </c>
      <c r="S987" s="12">
        <v>264</v>
      </c>
      <c r="T987" s="8" t="s">
        <v>1040</v>
      </c>
      <c r="U987" s="11">
        <v>-39</v>
      </c>
      <c r="V987" s="11">
        <v>-34</v>
      </c>
      <c r="W987" s="11">
        <v>-36</v>
      </c>
      <c r="X987" s="11">
        <v>-32</v>
      </c>
      <c r="Y987" s="11">
        <v>-28</v>
      </c>
      <c r="Z987" s="11">
        <v>-49</v>
      </c>
      <c r="AA987" s="11">
        <v>16.2</v>
      </c>
      <c r="AB987" s="11">
        <v>169</v>
      </c>
      <c r="AC987" s="11">
        <v>-13.8</v>
      </c>
      <c r="AD987" s="11">
        <v>225</v>
      </c>
      <c r="AE987" s="11">
        <v>-9.3000000000000007</v>
      </c>
      <c r="AF987" s="11">
        <v>241</v>
      </c>
      <c r="AG987" s="11">
        <v>-8</v>
      </c>
      <c r="AH987" s="11">
        <v>73</v>
      </c>
      <c r="AI987" s="11">
        <v>62</v>
      </c>
      <c r="AJ987" s="11">
        <v>97</v>
      </c>
      <c r="AK987" s="11" t="s">
        <v>48</v>
      </c>
      <c r="AL987" s="11" t="s">
        <v>44</v>
      </c>
      <c r="AM987" s="10">
        <v>2.4</v>
      </c>
      <c r="AN987" s="9">
        <v>264</v>
      </c>
      <c r="AO987" s="8" t="s">
        <v>1039</v>
      </c>
      <c r="AP987" s="8">
        <v>980</v>
      </c>
      <c r="AQ987" s="8">
        <v>24.1</v>
      </c>
      <c r="AR987" s="8">
        <v>28.2</v>
      </c>
      <c r="AS987" s="8">
        <v>26.5</v>
      </c>
      <c r="AT987" s="8">
        <v>37</v>
      </c>
      <c r="AU987" s="8">
        <v>12.6</v>
      </c>
      <c r="AV987" s="8">
        <v>81</v>
      </c>
      <c r="AW987" s="8">
        <v>62</v>
      </c>
      <c r="AX987" s="8">
        <v>624</v>
      </c>
      <c r="AY987" s="8">
        <v>153</v>
      </c>
      <c r="AZ987" s="8" t="s">
        <v>63</v>
      </c>
      <c r="BA987" s="7" t="s">
        <v>46</v>
      </c>
      <c r="BB987" s="9">
        <v>235</v>
      </c>
      <c r="BC987" s="8" t="s">
        <v>1038</v>
      </c>
      <c r="BD987" s="8">
        <v>0.8</v>
      </c>
      <c r="BE987" s="8">
        <v>1.2</v>
      </c>
      <c r="BF987" s="8">
        <v>2.2999999999999998</v>
      </c>
      <c r="BG987" s="8">
        <v>4.5999999999999996</v>
      </c>
      <c r="BH987" s="8">
        <v>7.7</v>
      </c>
      <c r="BI987" s="8">
        <v>12.8</v>
      </c>
      <c r="BJ987" s="8">
        <v>17.8</v>
      </c>
      <c r="BK987" s="8">
        <v>17.5</v>
      </c>
      <c r="BL987" s="8">
        <v>11.1</v>
      </c>
      <c r="BM987" s="8">
        <v>5.5</v>
      </c>
      <c r="BN987" s="8">
        <v>2.5</v>
      </c>
      <c r="BO987" s="8">
        <v>1.1000000000000001</v>
      </c>
      <c r="BP987" s="7">
        <v>7.1</v>
      </c>
    </row>
    <row r="988" spans="1:68" ht="14.25" customHeight="1">
      <c r="A988" s="12">
        <v>331</v>
      </c>
      <c r="B988" s="14">
        <v>482</v>
      </c>
      <c r="C988" s="13" t="s">
        <v>105</v>
      </c>
      <c r="D988" s="13" t="s">
        <v>105</v>
      </c>
      <c r="E988" s="13" t="s">
        <v>1037</v>
      </c>
      <c r="F988" s="11">
        <v>-5.8</v>
      </c>
      <c r="G988" s="11">
        <v>-3.9</v>
      </c>
      <c r="H988" s="11">
        <v>0</v>
      </c>
      <c r="I988" s="11">
        <v>5.8</v>
      </c>
      <c r="J988" s="11">
        <v>10.6</v>
      </c>
      <c r="K988" s="11">
        <v>13.6</v>
      </c>
      <c r="L988" s="11">
        <v>16.899999999999999</v>
      </c>
      <c r="M988" s="11">
        <v>15.9</v>
      </c>
      <c r="N988" s="11">
        <v>11.9</v>
      </c>
      <c r="O988" s="11">
        <v>6.7</v>
      </c>
      <c r="P988" s="11">
        <v>1.5</v>
      </c>
      <c r="Q988" s="11">
        <v>-3.7</v>
      </c>
      <c r="R988" s="10">
        <v>5.8</v>
      </c>
      <c r="S988" s="12">
        <v>482</v>
      </c>
      <c r="T988" s="8" t="s">
        <v>1035</v>
      </c>
      <c r="U988" s="11">
        <v>-20</v>
      </c>
      <c r="V988" s="11">
        <v>-16</v>
      </c>
      <c r="W988" s="11">
        <v>-15</v>
      </c>
      <c r="X988" s="11">
        <v>-13</v>
      </c>
      <c r="Y988" s="11">
        <v>-4</v>
      </c>
      <c r="Z988" s="11">
        <v>-35</v>
      </c>
      <c r="AA988" s="11">
        <v>10.5</v>
      </c>
      <c r="AB988" s="11">
        <v>148</v>
      </c>
      <c r="AC988" s="11">
        <v>-3.7</v>
      </c>
      <c r="AD988" s="11">
        <v>202</v>
      </c>
      <c r="AE988" s="11">
        <v>-0.4</v>
      </c>
      <c r="AF988" s="11">
        <v>228</v>
      </c>
      <c r="AG988" s="11">
        <v>0.7</v>
      </c>
      <c r="AH988" s="11" t="s">
        <v>49</v>
      </c>
      <c r="AI988" s="11">
        <v>66</v>
      </c>
      <c r="AJ988" s="11">
        <v>331</v>
      </c>
      <c r="AK988" s="11" t="s">
        <v>56</v>
      </c>
      <c r="AL988" s="11" t="s">
        <v>44</v>
      </c>
      <c r="AM988" s="10">
        <v>1.3</v>
      </c>
      <c r="AN988" s="9">
        <v>482</v>
      </c>
      <c r="AO988" s="8" t="s">
        <v>1036</v>
      </c>
      <c r="AP988" s="8">
        <v>855</v>
      </c>
      <c r="AQ988" s="8">
        <v>21</v>
      </c>
      <c r="AR988" s="8">
        <v>26</v>
      </c>
      <c r="AS988" s="8">
        <v>23</v>
      </c>
      <c r="AT988" s="8">
        <v>38</v>
      </c>
      <c r="AU988" s="8">
        <v>15.2</v>
      </c>
      <c r="AV988" s="8">
        <v>72</v>
      </c>
      <c r="AW988" s="8">
        <v>46</v>
      </c>
      <c r="AX988" s="8" t="s">
        <v>44</v>
      </c>
      <c r="AY988" s="8">
        <v>145</v>
      </c>
      <c r="AZ988" s="8" t="s">
        <v>82</v>
      </c>
      <c r="BA988" s="7">
        <v>0.2</v>
      </c>
      <c r="BB988" s="9"/>
      <c r="BC988" s="8" t="s">
        <v>1035</v>
      </c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7"/>
    </row>
    <row r="989" spans="1:68" ht="14.25" customHeight="1">
      <c r="A989" s="12">
        <v>332</v>
      </c>
      <c r="B989" s="14">
        <v>273</v>
      </c>
      <c r="C989" s="13" t="s">
        <v>30</v>
      </c>
      <c r="D989" s="13" t="s">
        <v>517</v>
      </c>
      <c r="E989" s="13" t="s">
        <v>1032</v>
      </c>
      <c r="F989" s="11">
        <v>-8.1</v>
      </c>
      <c r="G989" s="11">
        <v>-7.4</v>
      </c>
      <c r="H989" s="11">
        <v>-2</v>
      </c>
      <c r="I989" s="11">
        <v>8.4</v>
      </c>
      <c r="J989" s="11">
        <v>15.8</v>
      </c>
      <c r="K989" s="11">
        <v>19.600000000000001</v>
      </c>
      <c r="L989" s="11">
        <v>22</v>
      </c>
      <c r="M989" s="11">
        <v>21</v>
      </c>
      <c r="N989" s="11">
        <v>14.9</v>
      </c>
      <c r="O989" s="11">
        <v>7.2</v>
      </c>
      <c r="P989" s="11">
        <v>0.9</v>
      </c>
      <c r="Q989" s="11">
        <v>-4.5999999999999996</v>
      </c>
      <c r="R989" s="10">
        <v>7.3</v>
      </c>
      <c r="S989" s="12">
        <v>273</v>
      </c>
      <c r="T989" s="8" t="s">
        <v>1034</v>
      </c>
      <c r="U989" s="11">
        <v>-31</v>
      </c>
      <c r="V989" s="11">
        <v>-29</v>
      </c>
      <c r="W989" s="11">
        <v>-27</v>
      </c>
      <c r="X989" s="11">
        <v>-25</v>
      </c>
      <c r="Y989" s="11">
        <v>-13</v>
      </c>
      <c r="Z989" s="11">
        <v>-36</v>
      </c>
      <c r="AA989" s="11">
        <v>6.5</v>
      </c>
      <c r="AB989" s="11">
        <v>121</v>
      </c>
      <c r="AC989" s="11">
        <v>-5.2</v>
      </c>
      <c r="AD989" s="11">
        <v>184</v>
      </c>
      <c r="AE989" s="11">
        <v>-2.1</v>
      </c>
      <c r="AF989" s="11">
        <v>199</v>
      </c>
      <c r="AG989" s="11">
        <v>-1.2</v>
      </c>
      <c r="AH989" s="11">
        <v>84</v>
      </c>
      <c r="AI989" s="11">
        <v>83</v>
      </c>
      <c r="AJ989" s="11">
        <v>188</v>
      </c>
      <c r="AK989" s="11" t="s">
        <v>66</v>
      </c>
      <c r="AL989" s="11">
        <v>7.9</v>
      </c>
      <c r="AM989" s="10">
        <v>5.2</v>
      </c>
      <c r="AN989" s="9">
        <v>273</v>
      </c>
      <c r="AO989" s="8" t="s">
        <v>1033</v>
      </c>
      <c r="AP989" s="8">
        <v>995</v>
      </c>
      <c r="AQ989" s="8">
        <v>26</v>
      </c>
      <c r="AR989" s="8">
        <v>30</v>
      </c>
      <c r="AS989" s="8">
        <v>28.4</v>
      </c>
      <c r="AT989" s="8">
        <v>40</v>
      </c>
      <c r="AU989" s="8">
        <v>13</v>
      </c>
      <c r="AV989" s="8">
        <v>57</v>
      </c>
      <c r="AW989" s="8">
        <v>40</v>
      </c>
      <c r="AX989" s="8">
        <v>304</v>
      </c>
      <c r="AY989" s="8">
        <v>64</v>
      </c>
      <c r="AZ989" s="8" t="s">
        <v>37</v>
      </c>
      <c r="BA989" s="7">
        <v>0</v>
      </c>
      <c r="BB989" s="9">
        <v>244</v>
      </c>
      <c r="BC989" s="8" t="s">
        <v>1032</v>
      </c>
      <c r="BD989" s="8">
        <v>3.4</v>
      </c>
      <c r="BE989" s="8">
        <v>3.5</v>
      </c>
      <c r="BF989" s="8">
        <v>4.7</v>
      </c>
      <c r="BG989" s="8">
        <v>7.1</v>
      </c>
      <c r="BH989" s="8">
        <v>9.5</v>
      </c>
      <c r="BI989" s="8">
        <v>12.7</v>
      </c>
      <c r="BJ989" s="8">
        <v>14.2</v>
      </c>
      <c r="BK989" s="8">
        <v>13</v>
      </c>
      <c r="BL989" s="8">
        <v>9.8000000000000007</v>
      </c>
      <c r="BM989" s="8">
        <v>7.5</v>
      </c>
      <c r="BN989" s="8">
        <v>5.8</v>
      </c>
      <c r="BO989" s="8">
        <v>4.4000000000000004</v>
      </c>
      <c r="BP989" s="7">
        <v>8</v>
      </c>
    </row>
    <row r="990" spans="1:68" ht="14.25" customHeight="1">
      <c r="A990" s="12">
        <v>333</v>
      </c>
      <c r="B990" s="14">
        <v>118</v>
      </c>
      <c r="C990" s="13" t="s">
        <v>30</v>
      </c>
      <c r="D990" s="13" t="s">
        <v>293</v>
      </c>
      <c r="E990" s="13" t="s">
        <v>1029</v>
      </c>
      <c r="F990" s="11">
        <v>-19.899999999999999</v>
      </c>
      <c r="G990" s="11">
        <v>-17</v>
      </c>
      <c r="H990" s="11">
        <v>-11.9</v>
      </c>
      <c r="I990" s="11">
        <v>-2.5</v>
      </c>
      <c r="J990" s="11">
        <v>5.2</v>
      </c>
      <c r="K990" s="11">
        <v>11.6</v>
      </c>
      <c r="L990" s="11">
        <v>15</v>
      </c>
      <c r="M990" s="11">
        <v>13.6</v>
      </c>
      <c r="N990" s="11">
        <v>8</v>
      </c>
      <c r="O990" s="11">
        <v>0.3</v>
      </c>
      <c r="P990" s="11">
        <v>-10.9</v>
      </c>
      <c r="Q990" s="11">
        <v>-17.600000000000001</v>
      </c>
      <c r="R990" s="10">
        <v>-2.1</v>
      </c>
      <c r="S990" s="12">
        <v>118</v>
      </c>
      <c r="T990" s="8" t="s">
        <v>1031</v>
      </c>
      <c r="U990" s="11">
        <v>-43</v>
      </c>
      <c r="V990" s="11">
        <v>-40</v>
      </c>
      <c r="W990" s="11">
        <v>-40</v>
      </c>
      <c r="X990" s="11">
        <v>-38</v>
      </c>
      <c r="Y990" s="11">
        <v>-25</v>
      </c>
      <c r="Z990" s="11">
        <v>-51</v>
      </c>
      <c r="AA990" s="11">
        <v>12.8</v>
      </c>
      <c r="AB990" s="11">
        <v>191</v>
      </c>
      <c r="AC990" s="11">
        <v>-12.5</v>
      </c>
      <c r="AD990" s="11">
        <v>256</v>
      </c>
      <c r="AE990" s="11">
        <v>-8.3000000000000007</v>
      </c>
      <c r="AF990" s="11">
        <v>276</v>
      </c>
      <c r="AG990" s="11">
        <v>-7</v>
      </c>
      <c r="AH990" s="11">
        <v>82</v>
      </c>
      <c r="AI990" s="11">
        <v>80</v>
      </c>
      <c r="AJ990" s="11">
        <v>291</v>
      </c>
      <c r="AK990" s="11" t="s">
        <v>39</v>
      </c>
      <c r="AL990" s="11" t="s">
        <v>44</v>
      </c>
      <c r="AM990" s="10">
        <v>1.6</v>
      </c>
      <c r="AN990" s="9">
        <v>118</v>
      </c>
      <c r="AO990" s="8" t="s">
        <v>1030</v>
      </c>
      <c r="AP990" s="8">
        <v>995</v>
      </c>
      <c r="AQ990" s="8">
        <v>18.899999999999999</v>
      </c>
      <c r="AR990" s="8">
        <v>23.2</v>
      </c>
      <c r="AS990" s="8">
        <v>21.3</v>
      </c>
      <c r="AT990" s="8">
        <v>32</v>
      </c>
      <c r="AU990" s="8">
        <v>12.3</v>
      </c>
      <c r="AV990" s="8">
        <v>76</v>
      </c>
      <c r="AW990" s="8">
        <v>61</v>
      </c>
      <c r="AX990" s="8">
        <v>329</v>
      </c>
      <c r="AY990" s="8">
        <v>51</v>
      </c>
      <c r="AZ990" s="8" t="s">
        <v>82</v>
      </c>
      <c r="BA990" s="7" t="s">
        <v>46</v>
      </c>
      <c r="BB990" s="9">
        <v>102</v>
      </c>
      <c r="BC990" s="8" t="s">
        <v>1029</v>
      </c>
      <c r="BD990" s="8">
        <v>1.5</v>
      </c>
      <c r="BE990" s="8">
        <v>1.7</v>
      </c>
      <c r="BF990" s="8">
        <v>2.1</v>
      </c>
      <c r="BG990" s="8">
        <v>3.5</v>
      </c>
      <c r="BH990" s="8">
        <v>5.4</v>
      </c>
      <c r="BI990" s="8">
        <v>8.9</v>
      </c>
      <c r="BJ990" s="8">
        <v>13</v>
      </c>
      <c r="BK990" s="8">
        <v>12.5</v>
      </c>
      <c r="BL990" s="8">
        <v>8.3000000000000007</v>
      </c>
      <c r="BM990" s="8">
        <v>4.5999999999999996</v>
      </c>
      <c r="BN990" s="8">
        <v>2.5</v>
      </c>
      <c r="BO990" s="8">
        <v>1.7</v>
      </c>
      <c r="BP990" s="7">
        <v>5.5</v>
      </c>
    </row>
    <row r="991" spans="1:68" ht="14.25" customHeight="1">
      <c r="A991" s="12">
        <v>334</v>
      </c>
      <c r="B991" s="14">
        <v>475</v>
      </c>
      <c r="C991" s="13" t="s">
        <v>774</v>
      </c>
      <c r="D991" s="13" t="s">
        <v>1028</v>
      </c>
      <c r="E991" s="13" t="s">
        <v>1027</v>
      </c>
      <c r="F991" s="11">
        <v>-6.9</v>
      </c>
      <c r="G991" s="11">
        <v>-6.2</v>
      </c>
      <c r="H991" s="11">
        <v>-2</v>
      </c>
      <c r="I991" s="11">
        <v>5.5</v>
      </c>
      <c r="J991" s="11">
        <v>12.7</v>
      </c>
      <c r="K991" s="11">
        <v>16</v>
      </c>
      <c r="L991" s="11">
        <v>17.7</v>
      </c>
      <c r="M991" s="11">
        <v>16.3</v>
      </c>
      <c r="N991" s="11">
        <v>11.6</v>
      </c>
      <c r="O991" s="11">
        <v>5.8</v>
      </c>
      <c r="P991" s="11">
        <v>0.2</v>
      </c>
      <c r="Q991" s="11">
        <v>-4.3</v>
      </c>
      <c r="R991" s="10">
        <v>5.5</v>
      </c>
      <c r="S991" s="12">
        <v>475</v>
      </c>
      <c r="T991" s="8" t="s">
        <v>1025</v>
      </c>
      <c r="U991" s="11">
        <v>-33</v>
      </c>
      <c r="V991" s="11">
        <v>-28</v>
      </c>
      <c r="W991" s="11">
        <v>-28</v>
      </c>
      <c r="X991" s="11">
        <v>-24</v>
      </c>
      <c r="Y991" s="11">
        <v>-10</v>
      </c>
      <c r="Z991" s="11">
        <v>-39</v>
      </c>
      <c r="AA991" s="11">
        <v>6.2</v>
      </c>
      <c r="AB991" s="11">
        <v>131</v>
      </c>
      <c r="AC991" s="11">
        <v>-4.5999999999999996</v>
      </c>
      <c r="AD991" s="11">
        <v>202</v>
      </c>
      <c r="AE991" s="11">
        <v>-1.6</v>
      </c>
      <c r="AF991" s="11">
        <v>221</v>
      </c>
      <c r="AG991" s="11">
        <v>-0.7</v>
      </c>
      <c r="AH991" s="11">
        <v>86</v>
      </c>
      <c r="AI991" s="11">
        <v>81</v>
      </c>
      <c r="AJ991" s="11">
        <v>228</v>
      </c>
      <c r="AK991" s="11" t="s">
        <v>34</v>
      </c>
      <c r="AL991" s="11">
        <v>3.7</v>
      </c>
      <c r="AM991" s="10">
        <v>3.9</v>
      </c>
      <c r="AN991" s="9">
        <v>475</v>
      </c>
      <c r="AO991" s="8" t="s">
        <v>1026</v>
      </c>
      <c r="AP991" s="8">
        <v>990</v>
      </c>
      <c r="AQ991" s="8">
        <v>21</v>
      </c>
      <c r="AR991" s="8">
        <v>25.5</v>
      </c>
      <c r="AS991" s="8">
        <v>23</v>
      </c>
      <c r="AT991" s="8">
        <v>35</v>
      </c>
      <c r="AU991" s="8">
        <v>10.3</v>
      </c>
      <c r="AV991" s="8">
        <v>70</v>
      </c>
      <c r="AW991" s="8">
        <v>58</v>
      </c>
      <c r="AX991" s="8">
        <v>470</v>
      </c>
      <c r="AY991" s="8">
        <v>74</v>
      </c>
      <c r="AZ991" s="8" t="s">
        <v>54</v>
      </c>
      <c r="BA991" s="7">
        <v>2</v>
      </c>
      <c r="BB991" s="9"/>
      <c r="BC991" s="8" t="s">
        <v>1025</v>
      </c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7"/>
    </row>
    <row r="992" spans="1:68" ht="14.25" customHeight="1">
      <c r="A992" s="12">
        <v>335</v>
      </c>
      <c r="B992" s="14">
        <v>187</v>
      </c>
      <c r="C992" s="13" t="s">
        <v>30</v>
      </c>
      <c r="D992" s="13" t="s">
        <v>29</v>
      </c>
      <c r="E992" s="13" t="s">
        <v>1022</v>
      </c>
      <c r="F992" s="11">
        <v>-20.8</v>
      </c>
      <c r="G992" s="11">
        <v>-19</v>
      </c>
      <c r="H992" s="11">
        <v>-8.9</v>
      </c>
      <c r="I992" s="11">
        <v>3</v>
      </c>
      <c r="J992" s="11">
        <v>10.5</v>
      </c>
      <c r="K992" s="11">
        <v>17.2</v>
      </c>
      <c r="L992" s="11">
        <v>19.8</v>
      </c>
      <c r="M992" s="11">
        <v>16.899999999999999</v>
      </c>
      <c r="N992" s="11">
        <v>10</v>
      </c>
      <c r="O992" s="11">
        <v>1.9</v>
      </c>
      <c r="P992" s="11">
        <v>-8.9</v>
      </c>
      <c r="Q992" s="11">
        <v>-17.8</v>
      </c>
      <c r="R992" s="10">
        <v>0.3</v>
      </c>
      <c r="S992" s="12">
        <v>187</v>
      </c>
      <c r="T992" s="8" t="s">
        <v>1024</v>
      </c>
      <c r="U992" s="11">
        <v>-46</v>
      </c>
      <c r="V992" s="11">
        <v>-44</v>
      </c>
      <c r="W992" s="11">
        <v>-42</v>
      </c>
      <c r="X992" s="11">
        <v>-40</v>
      </c>
      <c r="Y992" s="11">
        <v>-26</v>
      </c>
      <c r="Z992" s="11">
        <v>-52</v>
      </c>
      <c r="AA992" s="11">
        <v>12.6</v>
      </c>
      <c r="AB992" s="11">
        <v>168</v>
      </c>
      <c r="AC992" s="11">
        <v>-13.1</v>
      </c>
      <c r="AD992" s="11">
        <v>225</v>
      </c>
      <c r="AE992" s="11">
        <v>-8.8000000000000007</v>
      </c>
      <c r="AF992" s="11">
        <v>240</v>
      </c>
      <c r="AG992" s="11">
        <v>-7.6</v>
      </c>
      <c r="AH992" s="11">
        <v>77</v>
      </c>
      <c r="AI992" s="11">
        <v>75</v>
      </c>
      <c r="AJ992" s="11">
        <v>55</v>
      </c>
      <c r="AK992" s="11" t="s">
        <v>39</v>
      </c>
      <c r="AL992" s="11">
        <v>4.8</v>
      </c>
      <c r="AM992" s="10">
        <v>1.8</v>
      </c>
      <c r="AN992" s="9">
        <v>187</v>
      </c>
      <c r="AO992" s="8" t="s">
        <v>1023</v>
      </c>
      <c r="AP992" s="8">
        <v>980</v>
      </c>
      <c r="AQ992" s="8">
        <v>24.3</v>
      </c>
      <c r="AR992" s="8">
        <v>28.2</v>
      </c>
      <c r="AS992" s="8">
        <v>26.6</v>
      </c>
      <c r="AT992" s="8">
        <v>39</v>
      </c>
      <c r="AU992" s="8">
        <v>13.6</v>
      </c>
      <c r="AV992" s="8">
        <v>68</v>
      </c>
      <c r="AW992" s="8">
        <v>51</v>
      </c>
      <c r="AX992" s="8">
        <v>296</v>
      </c>
      <c r="AY992" s="8">
        <v>54</v>
      </c>
      <c r="AZ992" s="8" t="s">
        <v>82</v>
      </c>
      <c r="BA992" s="7">
        <v>0</v>
      </c>
      <c r="BB992" s="9">
        <v>165</v>
      </c>
      <c r="BC992" s="8" t="s">
        <v>1022</v>
      </c>
      <c r="BD992" s="8">
        <v>1.2</v>
      </c>
      <c r="BE992" s="8">
        <v>1.5</v>
      </c>
      <c r="BF992" s="8">
        <v>2.7</v>
      </c>
      <c r="BG992" s="8">
        <v>4.5999999999999996</v>
      </c>
      <c r="BH992" s="8">
        <v>7</v>
      </c>
      <c r="BI992" s="8">
        <v>11.9</v>
      </c>
      <c r="BJ992" s="8">
        <v>15.1</v>
      </c>
      <c r="BK992" s="8">
        <v>13.3</v>
      </c>
      <c r="BL992" s="8">
        <v>9</v>
      </c>
      <c r="BM992" s="8">
        <v>5.0999999999999996</v>
      </c>
      <c r="BN992" s="8">
        <v>2.7</v>
      </c>
      <c r="BO992" s="8">
        <v>1.6</v>
      </c>
      <c r="BP992" s="7">
        <v>6.3</v>
      </c>
    </row>
    <row r="993" spans="1:68" ht="14.25" customHeight="1">
      <c r="A993" s="12">
        <v>336</v>
      </c>
      <c r="B993" s="14">
        <v>477</v>
      </c>
      <c r="C993" s="13" t="s">
        <v>774</v>
      </c>
      <c r="D993" s="13" t="s">
        <v>1021</v>
      </c>
      <c r="E993" s="13" t="s">
        <v>1020</v>
      </c>
      <c r="F993" s="11">
        <v>-7.6</v>
      </c>
      <c r="G993" s="11">
        <v>-6.9</v>
      </c>
      <c r="H993" s="11">
        <v>-2.2999999999999998</v>
      </c>
      <c r="I993" s="11">
        <v>5.5</v>
      </c>
      <c r="J993" s="11">
        <v>12.9</v>
      </c>
      <c r="K993" s="11">
        <v>16.3</v>
      </c>
      <c r="L993" s="11">
        <v>18</v>
      </c>
      <c r="M993" s="11">
        <v>16.5</v>
      </c>
      <c r="N993" s="11">
        <v>11.6</v>
      </c>
      <c r="O993" s="11">
        <v>5.4</v>
      </c>
      <c r="P993" s="11">
        <v>-0.1</v>
      </c>
      <c r="Q993" s="11">
        <v>-4.9000000000000004</v>
      </c>
      <c r="R993" s="10">
        <v>5.4</v>
      </c>
      <c r="S993" s="12">
        <v>477</v>
      </c>
      <c r="T993" s="8" t="s">
        <v>1018</v>
      </c>
      <c r="U993" s="11">
        <v>-34</v>
      </c>
      <c r="V993" s="11">
        <v>-29</v>
      </c>
      <c r="W993" s="11">
        <v>-28</v>
      </c>
      <c r="X993" s="11">
        <v>-24</v>
      </c>
      <c r="Y993" s="11">
        <v>-12</v>
      </c>
      <c r="Z993" s="11">
        <v>-37</v>
      </c>
      <c r="AA993" s="11">
        <v>6.4</v>
      </c>
      <c r="AB993" s="11">
        <v>132</v>
      </c>
      <c r="AC993" s="11">
        <v>-5.0999999999999996</v>
      </c>
      <c r="AD993" s="11">
        <v>204</v>
      </c>
      <c r="AE993" s="11">
        <v>-1.9</v>
      </c>
      <c r="AF993" s="11">
        <v>220</v>
      </c>
      <c r="AG993" s="11">
        <v>-1.1000000000000001</v>
      </c>
      <c r="AH993" s="11">
        <v>86</v>
      </c>
      <c r="AI993" s="11">
        <v>82</v>
      </c>
      <c r="AJ993" s="11">
        <v>217</v>
      </c>
      <c r="AK993" s="11" t="s">
        <v>34</v>
      </c>
      <c r="AL993" s="11">
        <v>4.7</v>
      </c>
      <c r="AM993" s="10">
        <v>4.4000000000000004</v>
      </c>
      <c r="AN993" s="9">
        <v>477</v>
      </c>
      <c r="AO993" s="8" t="s">
        <v>1019</v>
      </c>
      <c r="AP993" s="8">
        <v>990</v>
      </c>
      <c r="AQ993" s="8">
        <v>21.5</v>
      </c>
      <c r="AR993" s="8">
        <v>26</v>
      </c>
      <c r="AS993" s="8">
        <v>23</v>
      </c>
      <c r="AT993" s="8">
        <v>36</v>
      </c>
      <c r="AU993" s="8">
        <v>10.8</v>
      </c>
      <c r="AV993" s="8">
        <v>73</v>
      </c>
      <c r="AW993" s="8">
        <v>58</v>
      </c>
      <c r="AX993" s="8">
        <v>459</v>
      </c>
      <c r="AY993" s="8">
        <v>74</v>
      </c>
      <c r="AZ993" s="8" t="s">
        <v>43</v>
      </c>
      <c r="BA993" s="7">
        <v>3.7</v>
      </c>
      <c r="BB993" s="9"/>
      <c r="BC993" s="8" t="s">
        <v>1018</v>
      </c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7"/>
    </row>
    <row r="994" spans="1:68" ht="14.25" customHeight="1">
      <c r="A994" s="12">
        <v>337</v>
      </c>
      <c r="B994" s="14">
        <v>383</v>
      </c>
      <c r="C994" s="13" t="s">
        <v>30</v>
      </c>
      <c r="D994" s="13" t="s">
        <v>162</v>
      </c>
      <c r="E994" s="13" t="s">
        <v>1015</v>
      </c>
      <c r="F994" s="11">
        <v>-29.6</v>
      </c>
      <c r="G994" s="11">
        <v>-24.5</v>
      </c>
      <c r="H994" s="11">
        <v>-14.5</v>
      </c>
      <c r="I994" s="11">
        <v>-2.4</v>
      </c>
      <c r="J994" s="11">
        <v>6.6</v>
      </c>
      <c r="K994" s="11">
        <v>13.8</v>
      </c>
      <c r="L994" s="11">
        <v>16.8</v>
      </c>
      <c r="M994" s="11">
        <v>13.7</v>
      </c>
      <c r="N994" s="11">
        <v>6.7</v>
      </c>
      <c r="O994" s="11">
        <v>-3.8</v>
      </c>
      <c r="P994" s="11">
        <v>-18.899999999999999</v>
      </c>
      <c r="Q994" s="11">
        <v>-28.5</v>
      </c>
      <c r="R994" s="10">
        <v>-5.4</v>
      </c>
      <c r="S994" s="12">
        <v>383</v>
      </c>
      <c r="T994" s="8" t="s">
        <v>1017</v>
      </c>
      <c r="U994" s="11">
        <v>-47</v>
      </c>
      <c r="V994" s="11">
        <v>-45</v>
      </c>
      <c r="W994" s="11">
        <v>-43</v>
      </c>
      <c r="X994" s="11">
        <v>-41</v>
      </c>
      <c r="Y994" s="11">
        <v>-35</v>
      </c>
      <c r="Z994" s="11">
        <v>-53</v>
      </c>
      <c r="AA994" s="11">
        <v>15.2</v>
      </c>
      <c r="AB994" s="11">
        <v>201</v>
      </c>
      <c r="AC994" s="11">
        <v>-18.100000000000001</v>
      </c>
      <c r="AD994" s="11">
        <v>254</v>
      </c>
      <c r="AE994" s="11">
        <v>-13.4</v>
      </c>
      <c r="AF994" s="11">
        <v>271</v>
      </c>
      <c r="AG994" s="11">
        <v>-12</v>
      </c>
      <c r="AH994" s="11">
        <v>76</v>
      </c>
      <c r="AI994" s="11">
        <v>76</v>
      </c>
      <c r="AJ994" s="11">
        <v>32</v>
      </c>
      <c r="AK994" s="11" t="s">
        <v>75</v>
      </c>
      <c r="AL994" s="11">
        <v>5.2</v>
      </c>
      <c r="AM994" s="10">
        <v>1.8</v>
      </c>
      <c r="AN994" s="9">
        <v>383</v>
      </c>
      <c r="AO994" s="8" t="s">
        <v>1016</v>
      </c>
      <c r="AP994" s="8">
        <v>940</v>
      </c>
      <c r="AQ994" s="8">
        <v>22</v>
      </c>
      <c r="AR994" s="8">
        <v>25.5</v>
      </c>
      <c r="AS994" s="8">
        <v>24.1</v>
      </c>
      <c r="AT994" s="8">
        <v>36</v>
      </c>
      <c r="AU994" s="8">
        <v>14.5</v>
      </c>
      <c r="AV994" s="8">
        <v>75</v>
      </c>
      <c r="AW994" s="8">
        <v>70</v>
      </c>
      <c r="AX994" s="8">
        <v>409</v>
      </c>
      <c r="AY994" s="8">
        <v>99</v>
      </c>
      <c r="AZ994" s="8" t="s">
        <v>54</v>
      </c>
      <c r="BA994" s="7">
        <v>0</v>
      </c>
      <c r="BB994" s="9">
        <v>347</v>
      </c>
      <c r="BC994" s="8" t="s">
        <v>1015</v>
      </c>
      <c r="BD994" s="8">
        <v>0.5</v>
      </c>
      <c r="BE994" s="8">
        <v>0.7</v>
      </c>
      <c r="BF994" s="8">
        <v>1.5</v>
      </c>
      <c r="BG994" s="8">
        <v>3.1</v>
      </c>
      <c r="BH994" s="8">
        <v>5.3</v>
      </c>
      <c r="BI994" s="8">
        <v>10.199999999999999</v>
      </c>
      <c r="BJ994" s="8">
        <v>14.1</v>
      </c>
      <c r="BK994" s="8">
        <v>12.2</v>
      </c>
      <c r="BL994" s="8">
        <v>7</v>
      </c>
      <c r="BM994" s="8">
        <v>3.3</v>
      </c>
      <c r="BN994" s="8">
        <v>1.2</v>
      </c>
      <c r="BO994" s="8">
        <v>0.6</v>
      </c>
      <c r="BP994" s="7">
        <v>5</v>
      </c>
    </row>
    <row r="995" spans="1:68" ht="14.25" customHeight="1">
      <c r="A995" s="12">
        <v>338</v>
      </c>
      <c r="B995" s="14">
        <v>58</v>
      </c>
      <c r="C995" s="13" t="s">
        <v>30</v>
      </c>
      <c r="D995" s="13" t="s">
        <v>237</v>
      </c>
      <c r="E995" s="13" t="s">
        <v>1012</v>
      </c>
      <c r="F995" s="11">
        <v>-19.899999999999999</v>
      </c>
      <c r="G995" s="11">
        <v>-17.600000000000001</v>
      </c>
      <c r="H995" s="11">
        <v>-10.1</v>
      </c>
      <c r="I995" s="11">
        <v>-1.8</v>
      </c>
      <c r="J995" s="11">
        <v>5.6</v>
      </c>
      <c r="K995" s="11">
        <v>12.1</v>
      </c>
      <c r="L995" s="11">
        <v>14.2</v>
      </c>
      <c r="M995" s="11">
        <v>12</v>
      </c>
      <c r="N995" s="11">
        <v>5.5</v>
      </c>
      <c r="O995" s="11">
        <v>-2.2000000000000002</v>
      </c>
      <c r="P995" s="11">
        <v>-11.8</v>
      </c>
      <c r="Q995" s="11">
        <v>-18.2</v>
      </c>
      <c r="R995" s="10">
        <v>-2.7</v>
      </c>
      <c r="S995" s="12">
        <v>58</v>
      </c>
      <c r="T995" s="8" t="s">
        <v>1014</v>
      </c>
      <c r="U995" s="11">
        <v>-38</v>
      </c>
      <c r="V995" s="11">
        <v>-36</v>
      </c>
      <c r="W995" s="11">
        <v>-36</v>
      </c>
      <c r="X995" s="11">
        <v>-33</v>
      </c>
      <c r="Y995" s="11">
        <v>-25</v>
      </c>
      <c r="Z995" s="11">
        <v>-48</v>
      </c>
      <c r="AA995" s="11">
        <v>16</v>
      </c>
      <c r="AB995" s="11">
        <v>198</v>
      </c>
      <c r="AC995" s="11">
        <v>-12.2</v>
      </c>
      <c r="AD995" s="11">
        <v>266</v>
      </c>
      <c r="AE995" s="11">
        <v>-8.1</v>
      </c>
      <c r="AF995" s="11">
        <v>284</v>
      </c>
      <c r="AG995" s="11">
        <v>-6.9</v>
      </c>
      <c r="AH995" s="11">
        <v>65</v>
      </c>
      <c r="AI995" s="11">
        <v>51</v>
      </c>
      <c r="AJ995" s="11">
        <v>20</v>
      </c>
      <c r="AK995" s="11" t="s">
        <v>48</v>
      </c>
      <c r="AL995" s="11">
        <v>5.2</v>
      </c>
      <c r="AM995" s="10">
        <v>2.5</v>
      </c>
      <c r="AN995" s="9">
        <v>58</v>
      </c>
      <c r="AO995" s="8" t="s">
        <v>1013</v>
      </c>
      <c r="AP995" s="8">
        <v>870</v>
      </c>
      <c r="AQ995" s="8">
        <v>19.3</v>
      </c>
      <c r="AR995" s="8">
        <v>23.6</v>
      </c>
      <c r="AS995" s="8">
        <v>21.7</v>
      </c>
      <c r="AT995" s="8">
        <v>34</v>
      </c>
      <c r="AU995" s="8">
        <v>14.5</v>
      </c>
      <c r="AV995" s="8">
        <v>73</v>
      </c>
      <c r="AW995" s="8">
        <v>52</v>
      </c>
      <c r="AX995" s="8">
        <v>343</v>
      </c>
      <c r="AY995" s="8">
        <v>80</v>
      </c>
      <c r="AZ995" s="8" t="s">
        <v>63</v>
      </c>
      <c r="BA995" s="7">
        <v>0</v>
      </c>
      <c r="BB995" s="9">
        <v>44</v>
      </c>
      <c r="BC995" s="8" t="s">
        <v>1012</v>
      </c>
      <c r="BD995" s="8">
        <v>0.9</v>
      </c>
      <c r="BE995" s="8">
        <v>1</v>
      </c>
      <c r="BF995" s="8">
        <v>1.6</v>
      </c>
      <c r="BG995" s="8">
        <v>2.6</v>
      </c>
      <c r="BH995" s="8">
        <v>4.5999999999999996</v>
      </c>
      <c r="BI995" s="8">
        <v>8.4</v>
      </c>
      <c r="BJ995" s="8">
        <v>11.3</v>
      </c>
      <c r="BK995" s="8">
        <v>10.199999999999999</v>
      </c>
      <c r="BL995" s="8">
        <v>6</v>
      </c>
      <c r="BM995" s="8">
        <v>3.3</v>
      </c>
      <c r="BN995" s="8">
        <v>1.7</v>
      </c>
      <c r="BO995" s="8">
        <v>1.1000000000000001</v>
      </c>
      <c r="BP995" s="7">
        <v>4.4000000000000004</v>
      </c>
    </row>
    <row r="996" spans="1:68" ht="14.25" customHeight="1">
      <c r="A996" s="12">
        <v>339</v>
      </c>
      <c r="B996" s="14">
        <v>218</v>
      </c>
      <c r="C996" s="13" t="s">
        <v>30</v>
      </c>
      <c r="D996" s="13" t="s">
        <v>61</v>
      </c>
      <c r="E996" s="13" t="s">
        <v>1009</v>
      </c>
      <c r="F996" s="11">
        <v>-12.8</v>
      </c>
      <c r="G996" s="11">
        <v>-12.7</v>
      </c>
      <c r="H996" s="11">
        <v>-8.6</v>
      </c>
      <c r="I996" s="11">
        <v>-2.5</v>
      </c>
      <c r="J996" s="11">
        <v>3.4</v>
      </c>
      <c r="K996" s="11">
        <v>10.199999999999999</v>
      </c>
      <c r="L996" s="11">
        <v>13.8</v>
      </c>
      <c r="M996" s="11">
        <v>12</v>
      </c>
      <c r="N996" s="11">
        <v>6.6</v>
      </c>
      <c r="O996" s="11">
        <v>0.2</v>
      </c>
      <c r="P996" s="11">
        <v>-5.4</v>
      </c>
      <c r="Q996" s="11">
        <v>-9.6999999999999993</v>
      </c>
      <c r="R996" s="10">
        <v>-0.5</v>
      </c>
      <c r="S996" s="12">
        <v>218</v>
      </c>
      <c r="T996" s="8" t="s">
        <v>1011</v>
      </c>
      <c r="U996" s="11">
        <v>-40</v>
      </c>
      <c r="V996" s="11">
        <v>-38</v>
      </c>
      <c r="W996" s="11">
        <v>-34</v>
      </c>
      <c r="X996" s="11">
        <v>-30</v>
      </c>
      <c r="Y996" s="11">
        <v>-18</v>
      </c>
      <c r="Z996" s="11">
        <v>-44</v>
      </c>
      <c r="AA996" s="11">
        <v>9.5</v>
      </c>
      <c r="AB996" s="11">
        <v>193</v>
      </c>
      <c r="AC996" s="11">
        <v>-7.9</v>
      </c>
      <c r="AD996" s="11">
        <v>271</v>
      </c>
      <c r="AE996" s="11">
        <v>-4.5</v>
      </c>
      <c r="AF996" s="11">
        <v>291</v>
      </c>
      <c r="AG996" s="11">
        <v>-3.6</v>
      </c>
      <c r="AH996" s="11">
        <v>84</v>
      </c>
      <c r="AI996" s="11">
        <v>84</v>
      </c>
      <c r="AJ996" s="11">
        <v>126</v>
      </c>
      <c r="AK996" s="11" t="s">
        <v>34</v>
      </c>
      <c r="AL996" s="11">
        <v>5.7</v>
      </c>
      <c r="AM996" s="10">
        <v>4.3</v>
      </c>
      <c r="AN996" s="9">
        <v>218</v>
      </c>
      <c r="AO996" s="8" t="s">
        <v>1010</v>
      </c>
      <c r="AP996" s="8">
        <v>995</v>
      </c>
      <c r="AQ996" s="8">
        <v>16.3</v>
      </c>
      <c r="AR996" s="8">
        <v>20.8</v>
      </c>
      <c r="AS996" s="8">
        <v>18.7</v>
      </c>
      <c r="AT996" s="8">
        <v>32</v>
      </c>
      <c r="AU996" s="8">
        <v>8.9</v>
      </c>
      <c r="AV996" s="8">
        <v>69</v>
      </c>
      <c r="AW996" s="8">
        <v>58</v>
      </c>
      <c r="AX996" s="8">
        <v>339</v>
      </c>
      <c r="AY996" s="8">
        <v>51</v>
      </c>
      <c r="AZ996" s="8" t="s">
        <v>151</v>
      </c>
      <c r="BA996" s="7">
        <v>0</v>
      </c>
      <c r="BB996" s="9">
        <v>193</v>
      </c>
      <c r="BC996" s="8" t="s">
        <v>1009</v>
      </c>
      <c r="BD996" s="8">
        <v>2.2999999999999998</v>
      </c>
      <c r="BE996" s="8">
        <v>2.2000000000000002</v>
      </c>
      <c r="BF996" s="8">
        <v>2.8</v>
      </c>
      <c r="BG996" s="8">
        <v>3.9</v>
      </c>
      <c r="BH996" s="8">
        <v>5.4</v>
      </c>
      <c r="BI996" s="8">
        <v>8.1999999999999993</v>
      </c>
      <c r="BJ996" s="8">
        <v>10.6</v>
      </c>
      <c r="BK996" s="8">
        <v>10.6</v>
      </c>
      <c r="BL996" s="8">
        <v>7.9</v>
      </c>
      <c r="BM996" s="8">
        <v>5.3</v>
      </c>
      <c r="BN996" s="8">
        <v>3.8</v>
      </c>
      <c r="BO996" s="8">
        <v>2.8</v>
      </c>
      <c r="BP996" s="7">
        <v>5.5</v>
      </c>
    </row>
    <row r="997" spans="1:68" ht="14.25" customHeight="1">
      <c r="A997" s="12">
        <v>340</v>
      </c>
      <c r="B997" s="14">
        <v>212</v>
      </c>
      <c r="C997" s="13" t="s">
        <v>30</v>
      </c>
      <c r="D997" s="13" t="s">
        <v>1008</v>
      </c>
      <c r="E997" s="13" t="s">
        <v>1005</v>
      </c>
      <c r="F997" s="11">
        <v>-10.199999999999999</v>
      </c>
      <c r="G997" s="11">
        <v>-9.1999999999999993</v>
      </c>
      <c r="H997" s="11">
        <v>-4.3</v>
      </c>
      <c r="I997" s="11">
        <v>4.4000000000000004</v>
      </c>
      <c r="J997" s="11">
        <v>11.9</v>
      </c>
      <c r="K997" s="11">
        <v>16</v>
      </c>
      <c r="L997" s="11">
        <v>18.100000000000001</v>
      </c>
      <c r="M997" s="11">
        <v>16.3</v>
      </c>
      <c r="N997" s="11">
        <v>10.7</v>
      </c>
      <c r="O997" s="11">
        <v>4.3</v>
      </c>
      <c r="P997" s="11">
        <v>-1.9</v>
      </c>
      <c r="Q997" s="11">
        <v>-7.3</v>
      </c>
      <c r="R997" s="10">
        <v>4.0999999999999996</v>
      </c>
      <c r="S997" s="12">
        <v>212</v>
      </c>
      <c r="T997" s="8" t="s">
        <v>1007</v>
      </c>
      <c r="U997" s="11">
        <v>-36</v>
      </c>
      <c r="V997" s="11">
        <v>-32</v>
      </c>
      <c r="W997" s="11">
        <v>-30</v>
      </c>
      <c r="X997" s="11">
        <v>-28</v>
      </c>
      <c r="Y997" s="11">
        <v>-15</v>
      </c>
      <c r="Z997" s="11">
        <v>-42</v>
      </c>
      <c r="AA997" s="11">
        <v>6.5</v>
      </c>
      <c r="AB997" s="11">
        <v>145</v>
      </c>
      <c r="AC997" s="11">
        <v>-6.5</v>
      </c>
      <c r="AD997" s="11">
        <v>214</v>
      </c>
      <c r="AE997" s="11">
        <v>-3.1</v>
      </c>
      <c r="AF997" s="11">
        <v>231</v>
      </c>
      <c r="AG997" s="11">
        <v>-2.2000000000000002</v>
      </c>
      <c r="AH997" s="11">
        <v>84</v>
      </c>
      <c r="AI997" s="11">
        <v>77</v>
      </c>
      <c r="AJ997" s="11">
        <v>201</v>
      </c>
      <c r="AK997" s="11" t="s">
        <v>39</v>
      </c>
      <c r="AL997" s="11">
        <v>4.9000000000000004</v>
      </c>
      <c r="AM997" s="10">
        <v>3.8</v>
      </c>
      <c r="AN997" s="9">
        <v>212</v>
      </c>
      <c r="AO997" s="8" t="s">
        <v>1006</v>
      </c>
      <c r="AP997" s="8">
        <v>995</v>
      </c>
      <c r="AQ997" s="8">
        <v>22.6</v>
      </c>
      <c r="AR997" s="8">
        <v>26.3</v>
      </c>
      <c r="AS997" s="8">
        <v>23.6</v>
      </c>
      <c r="AT997" s="8">
        <v>37</v>
      </c>
      <c r="AU997" s="8">
        <v>10.5</v>
      </c>
      <c r="AV997" s="8">
        <v>70</v>
      </c>
      <c r="AW997" s="8">
        <v>56</v>
      </c>
      <c r="AX997" s="8">
        <v>443</v>
      </c>
      <c r="AY997" s="8">
        <v>61</v>
      </c>
      <c r="AZ997" s="8" t="s">
        <v>54</v>
      </c>
      <c r="BA997" s="7">
        <v>0</v>
      </c>
      <c r="BB997" s="9">
        <v>187</v>
      </c>
      <c r="BC997" s="8" t="s">
        <v>1005</v>
      </c>
      <c r="BD997" s="8">
        <v>2.8</v>
      </c>
      <c r="BE997" s="8">
        <v>2.9</v>
      </c>
      <c r="BF997" s="8">
        <v>3.9</v>
      </c>
      <c r="BG997" s="8">
        <v>6.2</v>
      </c>
      <c r="BH997" s="8">
        <v>9.1</v>
      </c>
      <c r="BI997" s="8">
        <v>12.4</v>
      </c>
      <c r="BJ997" s="8">
        <v>14.7</v>
      </c>
      <c r="BK997" s="8">
        <v>14</v>
      </c>
      <c r="BL997" s="8">
        <v>10.4</v>
      </c>
      <c r="BM997" s="8">
        <v>7</v>
      </c>
      <c r="BN997" s="8">
        <v>5</v>
      </c>
      <c r="BO997" s="8">
        <v>3.6</v>
      </c>
      <c r="BP997" s="7">
        <v>7.7</v>
      </c>
    </row>
    <row r="998" spans="1:68" ht="14.25" customHeight="1">
      <c r="A998" s="12">
        <v>341</v>
      </c>
      <c r="B998" s="14">
        <v>483</v>
      </c>
      <c r="C998" s="13" t="s">
        <v>105</v>
      </c>
      <c r="D998" s="13" t="s">
        <v>105</v>
      </c>
      <c r="E998" s="13" t="s">
        <v>1004</v>
      </c>
      <c r="F998" s="11">
        <v>-3.4</v>
      </c>
      <c r="G998" s="11">
        <v>-2.8</v>
      </c>
      <c r="H998" s="11">
        <v>0.3</v>
      </c>
      <c r="I998" s="11">
        <v>6.1</v>
      </c>
      <c r="J998" s="11">
        <v>10.4</v>
      </c>
      <c r="K998" s="11">
        <v>13.5</v>
      </c>
      <c r="L998" s="11">
        <v>16</v>
      </c>
      <c r="M998" s="11">
        <v>15.9</v>
      </c>
      <c r="N998" s="11">
        <v>12.7</v>
      </c>
      <c r="O998" s="11">
        <v>7.7</v>
      </c>
      <c r="P998" s="11">
        <v>3.3</v>
      </c>
      <c r="Q998" s="11">
        <v>0.9</v>
      </c>
      <c r="R998" s="10">
        <v>6.6</v>
      </c>
      <c r="S998" s="12">
        <v>483</v>
      </c>
      <c r="T998" s="8" t="s">
        <v>1002</v>
      </c>
      <c r="U998" s="11">
        <v>-10</v>
      </c>
      <c r="V998" s="11">
        <v>-8</v>
      </c>
      <c r="W998" s="11">
        <v>-7</v>
      </c>
      <c r="X998" s="11">
        <v>-4</v>
      </c>
      <c r="Y998" s="11">
        <v>2</v>
      </c>
      <c r="Z998" s="11">
        <v>-27</v>
      </c>
      <c r="AA998" s="11">
        <v>7.1</v>
      </c>
      <c r="AB998" s="11">
        <v>93</v>
      </c>
      <c r="AC998" s="11">
        <v>-2.2000000000000002</v>
      </c>
      <c r="AD998" s="11">
        <v>195</v>
      </c>
      <c r="AE998" s="11">
        <v>0.8</v>
      </c>
      <c r="AF998" s="11">
        <v>221</v>
      </c>
      <c r="AG998" s="11">
        <v>1.8</v>
      </c>
      <c r="AH998" s="11" t="s">
        <v>49</v>
      </c>
      <c r="AI998" s="11">
        <v>83</v>
      </c>
      <c r="AJ998" s="11">
        <v>624</v>
      </c>
      <c r="AK998" s="11" t="s">
        <v>66</v>
      </c>
      <c r="AL998" s="11" t="s">
        <v>44</v>
      </c>
      <c r="AM998" s="10">
        <v>10</v>
      </c>
      <c r="AN998" s="9">
        <v>483</v>
      </c>
      <c r="AO998" s="8" t="s">
        <v>1003</v>
      </c>
      <c r="AP998" s="8">
        <v>875</v>
      </c>
      <c r="AQ998" s="8">
        <v>20</v>
      </c>
      <c r="AR998" s="8">
        <v>25</v>
      </c>
      <c r="AS998" s="8">
        <v>22</v>
      </c>
      <c r="AT998" s="8">
        <v>32</v>
      </c>
      <c r="AU998" s="8">
        <v>10.6</v>
      </c>
      <c r="AV998" s="8">
        <v>87</v>
      </c>
      <c r="AW998" s="8">
        <v>75</v>
      </c>
      <c r="AX998" s="8" t="s">
        <v>44</v>
      </c>
      <c r="AY998" s="8">
        <v>84</v>
      </c>
      <c r="AZ998" s="8" t="s">
        <v>43</v>
      </c>
      <c r="BA998" s="7">
        <v>2.4</v>
      </c>
      <c r="BB998" s="9"/>
      <c r="BC998" s="8" t="s">
        <v>1002</v>
      </c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7"/>
    </row>
    <row r="999" spans="1:68" ht="14.25" customHeight="1">
      <c r="A999" s="12">
        <v>342</v>
      </c>
      <c r="B999" s="14">
        <v>591</v>
      </c>
      <c r="C999" s="13" t="s">
        <v>117</v>
      </c>
      <c r="D999" s="13" t="s">
        <v>1001</v>
      </c>
      <c r="E999" s="13" t="s">
        <v>999</v>
      </c>
      <c r="F999" s="11">
        <v>1.5</v>
      </c>
      <c r="G999" s="11">
        <v>4</v>
      </c>
      <c r="H999" s="11">
        <v>9.1</v>
      </c>
      <c r="I999" s="11">
        <v>16.7</v>
      </c>
      <c r="J999" s="11">
        <v>23.5</v>
      </c>
      <c r="K999" s="11">
        <v>28.9</v>
      </c>
      <c r="L999" s="11">
        <v>31.8</v>
      </c>
      <c r="M999" s="11">
        <v>29.4</v>
      </c>
      <c r="N999" s="11">
        <v>22.7</v>
      </c>
      <c r="O999" s="11">
        <v>14.6</v>
      </c>
      <c r="P999" s="11">
        <v>7.3</v>
      </c>
      <c r="Q999" s="11">
        <v>2.6</v>
      </c>
      <c r="R999" s="10">
        <v>16</v>
      </c>
      <c r="S999" s="12">
        <v>580</v>
      </c>
      <c r="T999" s="8" t="s">
        <v>999</v>
      </c>
      <c r="U999" s="11">
        <v>-19</v>
      </c>
      <c r="V999" s="11">
        <v>-16</v>
      </c>
      <c r="W999" s="11">
        <v>-16</v>
      </c>
      <c r="X999" s="11" t="s">
        <v>64</v>
      </c>
      <c r="Y999" s="11">
        <v>-3</v>
      </c>
      <c r="Z999" s="11">
        <v>-27</v>
      </c>
      <c r="AA999" s="11">
        <v>9.9</v>
      </c>
      <c r="AB999" s="11">
        <v>0</v>
      </c>
      <c r="AC999" s="11" t="s">
        <v>50</v>
      </c>
      <c r="AD999" s="11">
        <v>122</v>
      </c>
      <c r="AE999" s="11">
        <v>3.5</v>
      </c>
      <c r="AF999" s="11" t="s">
        <v>114</v>
      </c>
      <c r="AG999" s="11" t="s">
        <v>44</v>
      </c>
      <c r="AH999" s="11" t="s">
        <v>49</v>
      </c>
      <c r="AI999" s="11" t="s">
        <v>49</v>
      </c>
      <c r="AJ999" s="11" t="s">
        <v>84</v>
      </c>
      <c r="AK999" s="11" t="s">
        <v>44</v>
      </c>
      <c r="AL999" s="11">
        <v>2.8</v>
      </c>
      <c r="AM999" s="10" t="s">
        <v>44</v>
      </c>
      <c r="AN999" s="9">
        <v>581</v>
      </c>
      <c r="AO999" s="8" t="s">
        <v>1000</v>
      </c>
      <c r="AP999" s="8">
        <v>990</v>
      </c>
      <c r="AQ999" s="8">
        <v>37.200000000000003</v>
      </c>
      <c r="AR999" s="8">
        <v>41</v>
      </c>
      <c r="AS999" s="8">
        <v>39.5</v>
      </c>
      <c r="AT999" s="8">
        <v>49</v>
      </c>
      <c r="AU999" s="8">
        <v>17.3</v>
      </c>
      <c r="AV999" s="8" t="s">
        <v>45</v>
      </c>
      <c r="AW999" s="8" t="s">
        <v>44</v>
      </c>
      <c r="AX999" s="8" t="s">
        <v>44</v>
      </c>
      <c r="AY999" s="8" t="s">
        <v>64</v>
      </c>
      <c r="AZ999" s="8" t="s">
        <v>114</v>
      </c>
      <c r="BA999" s="7">
        <v>4.3</v>
      </c>
      <c r="BB999" s="9"/>
      <c r="BC999" s="8" t="s">
        <v>999</v>
      </c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7"/>
    </row>
    <row r="1000" spans="1:68" ht="14.25" customHeight="1">
      <c r="A1000" s="12">
        <v>343</v>
      </c>
      <c r="B1000" s="14">
        <v>587</v>
      </c>
      <c r="C1000" s="13" t="s">
        <v>117</v>
      </c>
      <c r="D1000" s="13" t="s">
        <v>168</v>
      </c>
      <c r="E1000" s="13" t="s">
        <v>997</v>
      </c>
      <c r="F1000" s="11">
        <v>-5.9</v>
      </c>
      <c r="G1000" s="11">
        <v>-5.5</v>
      </c>
      <c r="H1000" s="11">
        <v>0.1</v>
      </c>
      <c r="I1000" s="11">
        <v>9.4</v>
      </c>
      <c r="J1000" s="11">
        <v>18.100000000000001</v>
      </c>
      <c r="K1000" s="11">
        <v>23.7</v>
      </c>
      <c r="L1000" s="11">
        <v>26.6</v>
      </c>
      <c r="M1000" s="11">
        <v>25</v>
      </c>
      <c r="N1000" s="11">
        <v>19.100000000000001</v>
      </c>
      <c r="O1000" s="11">
        <v>10.8</v>
      </c>
      <c r="P1000" s="11">
        <v>3.2</v>
      </c>
      <c r="Q1000" s="11">
        <v>-2.4</v>
      </c>
      <c r="R1000" s="10">
        <v>10.199999999999999</v>
      </c>
      <c r="S1000" s="12">
        <v>576</v>
      </c>
      <c r="T1000" s="8" t="s">
        <v>997</v>
      </c>
      <c r="U1000" s="11">
        <v>-25</v>
      </c>
      <c r="V1000" s="11">
        <v>-23</v>
      </c>
      <c r="W1000" s="11">
        <v>-23</v>
      </c>
      <c r="X1000" s="11" t="s">
        <v>64</v>
      </c>
      <c r="Y1000" s="11">
        <v>-8</v>
      </c>
      <c r="Z1000" s="11" t="s">
        <v>44</v>
      </c>
      <c r="AA1000" s="11">
        <v>6.8</v>
      </c>
      <c r="AB1000" s="11">
        <v>104</v>
      </c>
      <c r="AC1000" s="11" t="s">
        <v>45</v>
      </c>
      <c r="AD1000" s="11">
        <v>167</v>
      </c>
      <c r="AE1000" s="11">
        <v>-1.2</v>
      </c>
      <c r="AF1000" s="11" t="s">
        <v>114</v>
      </c>
      <c r="AG1000" s="11" t="s">
        <v>44</v>
      </c>
      <c r="AH1000" s="11" t="s">
        <v>49</v>
      </c>
      <c r="AI1000" s="11" t="s">
        <v>49</v>
      </c>
      <c r="AJ1000" s="11" t="s">
        <v>84</v>
      </c>
      <c r="AK1000" s="11" t="s">
        <v>44</v>
      </c>
      <c r="AL1000" s="11">
        <v>4.8</v>
      </c>
      <c r="AM1000" s="10" t="s">
        <v>44</v>
      </c>
      <c r="AN1000" s="9">
        <v>577</v>
      </c>
      <c r="AO1000" s="8" t="s">
        <v>998</v>
      </c>
      <c r="AP1000" s="8">
        <v>1010</v>
      </c>
      <c r="AQ1000" s="8">
        <v>30.2</v>
      </c>
      <c r="AR1000" s="8">
        <v>35.1</v>
      </c>
      <c r="AS1000" s="8">
        <v>31.8</v>
      </c>
      <c r="AT1000" s="8">
        <v>44</v>
      </c>
      <c r="AU1000" s="8">
        <v>9.6999999999999993</v>
      </c>
      <c r="AV1000" s="8" t="s">
        <v>45</v>
      </c>
      <c r="AW1000" s="8" t="s">
        <v>44</v>
      </c>
      <c r="AX1000" s="8" t="s">
        <v>44</v>
      </c>
      <c r="AY1000" s="8">
        <v>66</v>
      </c>
      <c r="AZ1000" s="8" t="s">
        <v>114</v>
      </c>
      <c r="BA1000" s="7">
        <v>3.4</v>
      </c>
      <c r="BB1000" s="9"/>
      <c r="BC1000" s="8" t="s">
        <v>997</v>
      </c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7"/>
    </row>
    <row r="1001" spans="1:68" ht="14.25" customHeight="1">
      <c r="A1001" s="12">
        <v>344</v>
      </c>
      <c r="B1001" s="14">
        <v>573</v>
      </c>
      <c r="C1001" s="13" t="s">
        <v>135</v>
      </c>
      <c r="D1001" s="13" t="s">
        <v>233</v>
      </c>
      <c r="E1001" s="13" t="s">
        <v>995</v>
      </c>
      <c r="F1001" s="11">
        <v>-17.3</v>
      </c>
      <c r="G1001" s="11">
        <v>-13.5</v>
      </c>
      <c r="H1001" s="11">
        <v>-6.6</v>
      </c>
      <c r="I1001" s="11">
        <v>0.4</v>
      </c>
      <c r="J1001" s="11">
        <v>5.4</v>
      </c>
      <c r="K1001" s="11">
        <v>9.4</v>
      </c>
      <c r="L1001" s="11">
        <v>13.2</v>
      </c>
      <c r="M1001" s="11">
        <v>12.8</v>
      </c>
      <c r="N1001" s="11">
        <v>7.2</v>
      </c>
      <c r="O1001" s="11">
        <v>-0.4</v>
      </c>
      <c r="P1001" s="11">
        <v>-8.6</v>
      </c>
      <c r="Q1001" s="11">
        <v>-15.3</v>
      </c>
      <c r="R1001" s="10">
        <v>-1.1000000000000001</v>
      </c>
      <c r="S1001" s="15"/>
      <c r="T1001" s="8" t="s">
        <v>996</v>
      </c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7"/>
      <c r="AN1001" s="9"/>
      <c r="AO1001" s="8" t="s">
        <v>996</v>
      </c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7"/>
      <c r="BB1001" s="9"/>
      <c r="BC1001" s="8" t="s">
        <v>995</v>
      </c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7"/>
    </row>
    <row r="1002" spans="1:68" ht="14.25" customHeight="1">
      <c r="A1002" s="12">
        <v>345</v>
      </c>
      <c r="B1002" s="14">
        <v>219</v>
      </c>
      <c r="C1002" s="13" t="s">
        <v>30</v>
      </c>
      <c r="D1002" s="13" t="s">
        <v>61</v>
      </c>
      <c r="E1002" s="13" t="s">
        <v>992</v>
      </c>
      <c r="F1002" s="11">
        <v>-10.5</v>
      </c>
      <c r="G1002" s="11">
        <v>-10.8</v>
      </c>
      <c r="H1002" s="11">
        <v>-6.9</v>
      </c>
      <c r="I1002" s="11">
        <v>-1.6</v>
      </c>
      <c r="J1002" s="11">
        <v>3.4</v>
      </c>
      <c r="K1002" s="11">
        <v>9.3000000000000007</v>
      </c>
      <c r="L1002" s="11">
        <v>12.6</v>
      </c>
      <c r="M1002" s="11">
        <v>11.3</v>
      </c>
      <c r="N1002" s="11">
        <v>6.6</v>
      </c>
      <c r="O1002" s="11">
        <v>0.7</v>
      </c>
      <c r="P1002" s="11">
        <v>-4.2</v>
      </c>
      <c r="Q1002" s="11">
        <v>-7.8</v>
      </c>
      <c r="R1002" s="10">
        <v>0.2</v>
      </c>
      <c r="S1002" s="12">
        <v>219</v>
      </c>
      <c r="T1002" s="8" t="s">
        <v>994</v>
      </c>
      <c r="U1002" s="11">
        <v>-35</v>
      </c>
      <c r="V1002" s="11">
        <v>-32</v>
      </c>
      <c r="W1002" s="11">
        <v>-29</v>
      </c>
      <c r="X1002" s="11">
        <v>-27</v>
      </c>
      <c r="Y1002" s="11">
        <v>-16</v>
      </c>
      <c r="Z1002" s="11">
        <v>-39</v>
      </c>
      <c r="AA1002" s="11">
        <v>6.2</v>
      </c>
      <c r="AB1002" s="11">
        <v>187</v>
      </c>
      <c r="AC1002" s="11">
        <v>-6.6</v>
      </c>
      <c r="AD1002" s="11">
        <v>275</v>
      </c>
      <c r="AE1002" s="11">
        <v>-3.2</v>
      </c>
      <c r="AF1002" s="11">
        <v>302</v>
      </c>
      <c r="AG1002" s="11">
        <v>-2.1</v>
      </c>
      <c r="AH1002" s="11">
        <v>84</v>
      </c>
      <c r="AI1002" s="11">
        <v>81</v>
      </c>
      <c r="AJ1002" s="11">
        <v>166</v>
      </c>
      <c r="AK1002" s="11" t="s">
        <v>34</v>
      </c>
      <c r="AL1002" s="11">
        <v>7.5</v>
      </c>
      <c r="AM1002" s="10">
        <v>5.6</v>
      </c>
      <c r="AN1002" s="9">
        <v>219</v>
      </c>
      <c r="AO1002" s="8" t="s">
        <v>993</v>
      </c>
      <c r="AP1002" s="8">
        <v>1005</v>
      </c>
      <c r="AQ1002" s="8">
        <v>15.8</v>
      </c>
      <c r="AR1002" s="8">
        <v>21.5</v>
      </c>
      <c r="AS1002" s="8">
        <v>17.5</v>
      </c>
      <c r="AT1002" s="8">
        <v>33</v>
      </c>
      <c r="AU1002" s="8">
        <v>8.8000000000000007</v>
      </c>
      <c r="AV1002" s="8">
        <v>73</v>
      </c>
      <c r="AW1002" s="8">
        <v>61</v>
      </c>
      <c r="AX1002" s="8">
        <v>322</v>
      </c>
      <c r="AY1002" s="8">
        <v>58</v>
      </c>
      <c r="AZ1002" s="8" t="s">
        <v>32</v>
      </c>
      <c r="BA1002" s="7">
        <v>3.8</v>
      </c>
      <c r="BB1002" s="9">
        <v>194</v>
      </c>
      <c r="BC1002" s="8" t="s">
        <v>992</v>
      </c>
      <c r="BD1002" s="8">
        <v>2.6</v>
      </c>
      <c r="BE1002" s="8">
        <v>2.5</v>
      </c>
      <c r="BF1002" s="8">
        <v>3.1</v>
      </c>
      <c r="BG1002" s="8">
        <v>3.9</v>
      </c>
      <c r="BH1002" s="8">
        <v>5.4</v>
      </c>
      <c r="BI1002" s="8">
        <v>7.9</v>
      </c>
      <c r="BJ1002" s="8">
        <v>10.1</v>
      </c>
      <c r="BK1002" s="8">
        <v>10.199999999999999</v>
      </c>
      <c r="BL1002" s="8">
        <v>7.8</v>
      </c>
      <c r="BM1002" s="8">
        <v>5.4</v>
      </c>
      <c r="BN1002" s="8">
        <v>4</v>
      </c>
      <c r="BO1002" s="8">
        <v>3.1</v>
      </c>
      <c r="BP1002" s="7">
        <v>5.6</v>
      </c>
    </row>
    <row r="1003" spans="1:68" ht="14.25" customHeight="1">
      <c r="A1003" s="12">
        <v>346</v>
      </c>
      <c r="B1003" s="14">
        <v>65</v>
      </c>
      <c r="C1003" s="13" t="s">
        <v>30</v>
      </c>
      <c r="D1003" s="13" t="s">
        <v>991</v>
      </c>
      <c r="E1003" s="13" t="s">
        <v>988</v>
      </c>
      <c r="F1003" s="11">
        <v>-11.5</v>
      </c>
      <c r="G1003" s="11">
        <v>-10.9</v>
      </c>
      <c r="H1003" s="11">
        <v>-4.9000000000000004</v>
      </c>
      <c r="I1003" s="11">
        <v>4.7</v>
      </c>
      <c r="J1003" s="11">
        <v>12.5</v>
      </c>
      <c r="K1003" s="11">
        <v>16.7</v>
      </c>
      <c r="L1003" s="11">
        <v>18.7</v>
      </c>
      <c r="M1003" s="11">
        <v>17.2</v>
      </c>
      <c r="N1003" s="11">
        <v>11.3</v>
      </c>
      <c r="O1003" s="11">
        <v>4.0999999999999996</v>
      </c>
      <c r="P1003" s="11">
        <v>-2.2999999999999998</v>
      </c>
      <c r="Q1003" s="11">
        <v>-8.1999999999999993</v>
      </c>
      <c r="R1003" s="10">
        <v>4</v>
      </c>
      <c r="S1003" s="12">
        <v>65</v>
      </c>
      <c r="T1003" s="8" t="s">
        <v>990</v>
      </c>
      <c r="U1003" s="11">
        <v>-39</v>
      </c>
      <c r="V1003" s="11">
        <v>-35</v>
      </c>
      <c r="W1003" s="11">
        <v>-33</v>
      </c>
      <c r="X1003" s="11">
        <v>-30</v>
      </c>
      <c r="Y1003" s="11">
        <v>-16</v>
      </c>
      <c r="Z1003" s="11">
        <v>-45</v>
      </c>
      <c r="AA1003" s="11">
        <v>6.4</v>
      </c>
      <c r="AB1003" s="11">
        <v>150</v>
      </c>
      <c r="AC1003" s="11">
        <v>-7.4</v>
      </c>
      <c r="AD1003" s="11">
        <v>214</v>
      </c>
      <c r="AE1003" s="11">
        <v>-4</v>
      </c>
      <c r="AF1003" s="11">
        <v>230</v>
      </c>
      <c r="AG1003" s="11">
        <v>-3.1</v>
      </c>
      <c r="AH1003" s="11">
        <v>84</v>
      </c>
      <c r="AI1003" s="11">
        <v>83</v>
      </c>
      <c r="AJ1003" s="11">
        <v>166</v>
      </c>
      <c r="AK1003" s="11" t="s">
        <v>34</v>
      </c>
      <c r="AL1003" s="11" t="s">
        <v>44</v>
      </c>
      <c r="AM1003" s="10">
        <v>4.0999999999999996</v>
      </c>
      <c r="AN1003" s="9">
        <v>65</v>
      </c>
      <c r="AO1003" s="8" t="s">
        <v>989</v>
      </c>
      <c r="AP1003" s="8">
        <v>1000</v>
      </c>
      <c r="AQ1003" s="8">
        <v>22.7</v>
      </c>
      <c r="AR1003" s="8">
        <v>26.8</v>
      </c>
      <c r="AS1003" s="8">
        <v>23.3</v>
      </c>
      <c r="AT1003" s="8">
        <v>37</v>
      </c>
      <c r="AU1003" s="8">
        <v>10.6</v>
      </c>
      <c r="AV1003" s="8">
        <v>70</v>
      </c>
      <c r="AW1003" s="8">
        <v>53</v>
      </c>
      <c r="AX1003" s="8">
        <v>383</v>
      </c>
      <c r="AY1003" s="8">
        <v>69</v>
      </c>
      <c r="AZ1003" s="8" t="s">
        <v>82</v>
      </c>
      <c r="BA1003" s="7" t="s">
        <v>46</v>
      </c>
      <c r="BB1003" s="9">
        <v>51</v>
      </c>
      <c r="BC1003" s="8" t="s">
        <v>988</v>
      </c>
      <c r="BD1003" s="8">
        <v>2.6</v>
      </c>
      <c r="BE1003" s="8">
        <v>2.6</v>
      </c>
      <c r="BF1003" s="8">
        <v>3.7</v>
      </c>
      <c r="BG1003" s="8">
        <v>6.3</v>
      </c>
      <c r="BH1003" s="8">
        <v>9.1999999999999993</v>
      </c>
      <c r="BI1003" s="8">
        <v>12.5</v>
      </c>
      <c r="BJ1003" s="8">
        <v>15</v>
      </c>
      <c r="BK1003" s="8">
        <v>14</v>
      </c>
      <c r="BL1003" s="8">
        <v>10.3</v>
      </c>
      <c r="BM1003" s="8">
        <v>6.8</v>
      </c>
      <c r="BN1003" s="8">
        <v>4.8</v>
      </c>
      <c r="BO1003" s="8">
        <v>3.4</v>
      </c>
      <c r="BP1003" s="7">
        <v>7.6</v>
      </c>
    </row>
    <row r="1004" spans="1:68" ht="14.25" customHeight="1">
      <c r="A1004" s="12">
        <v>347</v>
      </c>
      <c r="B1004" s="14">
        <v>592</v>
      </c>
      <c r="C1004" s="13" t="s">
        <v>117</v>
      </c>
      <c r="D1004" s="13" t="s">
        <v>898</v>
      </c>
      <c r="E1004" s="13" t="s">
        <v>986</v>
      </c>
      <c r="F1004" s="11">
        <v>0.9</v>
      </c>
      <c r="G1004" s="11">
        <v>3.6</v>
      </c>
      <c r="H1004" s="11">
        <v>8.4</v>
      </c>
      <c r="I1004" s="11">
        <v>15.8</v>
      </c>
      <c r="J1004" s="11">
        <v>21.7</v>
      </c>
      <c r="K1004" s="11">
        <v>26.3</v>
      </c>
      <c r="L1004" s="11">
        <v>28.3</v>
      </c>
      <c r="M1004" s="11">
        <v>25.9</v>
      </c>
      <c r="N1004" s="11">
        <v>19.899999999999999</v>
      </c>
      <c r="O1004" s="11">
        <v>13.3</v>
      </c>
      <c r="P1004" s="11">
        <v>7.1</v>
      </c>
      <c r="Q1004" s="11">
        <v>2.7</v>
      </c>
      <c r="R1004" s="10">
        <v>14.5</v>
      </c>
      <c r="S1004" s="12">
        <v>581</v>
      </c>
      <c r="T1004" s="8" t="s">
        <v>986</v>
      </c>
      <c r="U1004" s="11">
        <v>-18</v>
      </c>
      <c r="V1004" s="11">
        <v>-16</v>
      </c>
      <c r="W1004" s="11">
        <v>-16</v>
      </c>
      <c r="X1004" s="11" t="s">
        <v>64</v>
      </c>
      <c r="Y1004" s="11">
        <v>-2</v>
      </c>
      <c r="Z1004" s="11">
        <v>-28</v>
      </c>
      <c r="AA1004" s="11">
        <v>9</v>
      </c>
      <c r="AB1004" s="11">
        <v>0</v>
      </c>
      <c r="AC1004" s="11" t="s">
        <v>50</v>
      </c>
      <c r="AD1004" s="11">
        <v>123</v>
      </c>
      <c r="AE1004" s="11">
        <v>3.5</v>
      </c>
      <c r="AF1004" s="11" t="s">
        <v>114</v>
      </c>
      <c r="AG1004" s="11" t="s">
        <v>44</v>
      </c>
      <c r="AH1004" s="11" t="s">
        <v>49</v>
      </c>
      <c r="AI1004" s="11" t="s">
        <v>49</v>
      </c>
      <c r="AJ1004" s="11" t="s">
        <v>84</v>
      </c>
      <c r="AK1004" s="11" t="s">
        <v>44</v>
      </c>
      <c r="AL1004" s="11">
        <v>3.6</v>
      </c>
      <c r="AM1004" s="10" t="s">
        <v>44</v>
      </c>
      <c r="AN1004" s="9">
        <v>582</v>
      </c>
      <c r="AO1004" s="8" t="s">
        <v>987</v>
      </c>
      <c r="AP1004" s="8">
        <v>970</v>
      </c>
      <c r="AQ1004" s="8">
        <v>33.9</v>
      </c>
      <c r="AR1004" s="8">
        <v>38.200000000000003</v>
      </c>
      <c r="AS1004" s="8">
        <v>36</v>
      </c>
      <c r="AT1004" s="8">
        <v>46</v>
      </c>
      <c r="AU1004" s="8">
        <v>17.100000000000001</v>
      </c>
      <c r="AV1004" s="8" t="s">
        <v>45</v>
      </c>
      <c r="AW1004" s="8" t="s">
        <v>44</v>
      </c>
      <c r="AX1004" s="8" t="s">
        <v>44</v>
      </c>
      <c r="AY1004" s="8">
        <v>38</v>
      </c>
      <c r="AZ1004" s="8" t="s">
        <v>114</v>
      </c>
      <c r="BA1004" s="7">
        <v>0</v>
      </c>
      <c r="BB1004" s="9"/>
      <c r="BC1004" s="8" t="s">
        <v>986</v>
      </c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7"/>
    </row>
    <row r="1005" spans="1:68" ht="14.25" customHeight="1">
      <c r="A1005" s="12">
        <v>348</v>
      </c>
      <c r="B1005" s="14">
        <v>422</v>
      </c>
      <c r="C1005" s="13" t="s">
        <v>30</v>
      </c>
      <c r="D1005" s="13" t="s">
        <v>57</v>
      </c>
      <c r="E1005" s="13" t="s">
        <v>984</v>
      </c>
      <c r="F1005" s="11">
        <v>-29.6</v>
      </c>
      <c r="G1005" s="11">
        <v>-26.4</v>
      </c>
      <c r="H1005" s="11">
        <v>-18</v>
      </c>
      <c r="I1005" s="11">
        <v>-7</v>
      </c>
      <c r="J1005" s="11">
        <v>3.2</v>
      </c>
      <c r="K1005" s="11">
        <v>11.5</v>
      </c>
      <c r="L1005" s="11">
        <v>14.9</v>
      </c>
      <c r="M1005" s="11">
        <v>11.8</v>
      </c>
      <c r="N1005" s="11">
        <v>4.3</v>
      </c>
      <c r="O1005" s="11">
        <v>-7.7</v>
      </c>
      <c r="P1005" s="11">
        <v>-22.1</v>
      </c>
      <c r="Q1005" s="11">
        <v>-29</v>
      </c>
      <c r="R1005" s="10">
        <v>-7.8</v>
      </c>
      <c r="S1005" s="12">
        <v>422</v>
      </c>
      <c r="T1005" s="8" t="s">
        <v>984</v>
      </c>
      <c r="U1005" s="11">
        <v>-48</v>
      </c>
      <c r="V1005" s="11">
        <v>-46</v>
      </c>
      <c r="W1005" s="11">
        <v>-44</v>
      </c>
      <c r="X1005" s="11">
        <v>-41</v>
      </c>
      <c r="Y1005" s="11">
        <v>-35</v>
      </c>
      <c r="Z1005" s="11">
        <v>-57</v>
      </c>
      <c r="AA1005" s="11">
        <v>9.6</v>
      </c>
      <c r="AB1005" s="11">
        <v>222</v>
      </c>
      <c r="AC1005" s="11">
        <v>-18.7</v>
      </c>
      <c r="AD1005" s="11">
        <v>275</v>
      </c>
      <c r="AE1005" s="11">
        <v>-14.2</v>
      </c>
      <c r="AF1005" s="11">
        <v>291</v>
      </c>
      <c r="AG1005" s="11">
        <v>-13</v>
      </c>
      <c r="AH1005" s="11">
        <v>74</v>
      </c>
      <c r="AI1005" s="11">
        <v>71</v>
      </c>
      <c r="AJ1005" s="11">
        <v>46</v>
      </c>
      <c r="AK1005" s="11" t="s">
        <v>56</v>
      </c>
      <c r="AL1005" s="11">
        <v>6.6</v>
      </c>
      <c r="AM1005" s="10">
        <v>3</v>
      </c>
      <c r="AN1005" s="9">
        <v>422</v>
      </c>
      <c r="AO1005" s="8" t="s">
        <v>985</v>
      </c>
      <c r="AP1005" s="8">
        <v>910</v>
      </c>
      <c r="AQ1005" s="8">
        <v>19.7</v>
      </c>
      <c r="AR1005" s="8">
        <v>24</v>
      </c>
      <c r="AS1005" s="8">
        <v>22.1</v>
      </c>
      <c r="AT1005" s="8">
        <v>37</v>
      </c>
      <c r="AU1005" s="8">
        <v>14.1</v>
      </c>
      <c r="AV1005" s="8">
        <v>74</v>
      </c>
      <c r="AW1005" s="8">
        <v>57</v>
      </c>
      <c r="AX1005" s="8">
        <v>542</v>
      </c>
      <c r="AY1005" s="8">
        <v>67</v>
      </c>
      <c r="AZ1005" s="8" t="s">
        <v>32</v>
      </c>
      <c r="BA1005" s="7">
        <v>0</v>
      </c>
      <c r="BB1005" s="9">
        <v>385</v>
      </c>
      <c r="BC1005" s="8" t="s">
        <v>984</v>
      </c>
      <c r="BD1005" s="8">
        <v>0.5</v>
      </c>
      <c r="BE1005" s="8">
        <v>0.6</v>
      </c>
      <c r="BF1005" s="8">
        <v>1.1000000000000001</v>
      </c>
      <c r="BG1005" s="8">
        <v>2.5</v>
      </c>
      <c r="BH1005" s="8">
        <v>4.5999999999999996</v>
      </c>
      <c r="BI1005" s="8">
        <v>8.9</v>
      </c>
      <c r="BJ1005" s="8">
        <v>12.2</v>
      </c>
      <c r="BK1005" s="8">
        <v>10.7</v>
      </c>
      <c r="BL1005" s="8">
        <v>6.3</v>
      </c>
      <c r="BM1005" s="8">
        <v>2.7</v>
      </c>
      <c r="BN1005" s="8">
        <v>0.9</v>
      </c>
      <c r="BO1005" s="8">
        <v>0.5</v>
      </c>
      <c r="BP1005" s="7">
        <v>4.3</v>
      </c>
    </row>
    <row r="1006" spans="1:68" ht="14.25" customHeight="1">
      <c r="A1006" s="12">
        <v>349</v>
      </c>
      <c r="B1006" s="14">
        <v>148</v>
      </c>
      <c r="C1006" s="13" t="s">
        <v>30</v>
      </c>
      <c r="D1006" s="13" t="s">
        <v>693</v>
      </c>
      <c r="E1006" s="13" t="s">
        <v>981</v>
      </c>
      <c r="F1006" s="11">
        <v>-14.9</v>
      </c>
      <c r="G1006" s="11">
        <v>-13.7</v>
      </c>
      <c r="H1006" s="11">
        <v>-7.1</v>
      </c>
      <c r="I1006" s="11">
        <v>1.6</v>
      </c>
      <c r="J1006" s="11">
        <v>9</v>
      </c>
      <c r="K1006" s="11">
        <v>14.6</v>
      </c>
      <c r="L1006" s="11">
        <v>16.899999999999999</v>
      </c>
      <c r="M1006" s="11">
        <v>14.8</v>
      </c>
      <c r="N1006" s="11">
        <v>8.5</v>
      </c>
      <c r="O1006" s="11">
        <v>0.8</v>
      </c>
      <c r="P1006" s="11">
        <v>-6</v>
      </c>
      <c r="Q1006" s="11">
        <v>-12.5</v>
      </c>
      <c r="R1006" s="10">
        <v>1</v>
      </c>
      <c r="S1006" s="12">
        <v>148</v>
      </c>
      <c r="T1006" s="8" t="s">
        <v>983</v>
      </c>
      <c r="U1006" s="11">
        <v>-42</v>
      </c>
      <c r="V1006" s="11">
        <v>-38</v>
      </c>
      <c r="W1006" s="11">
        <v>-36</v>
      </c>
      <c r="X1006" s="11">
        <v>-34</v>
      </c>
      <c r="Y1006" s="11">
        <v>-20</v>
      </c>
      <c r="Z1006" s="11">
        <v>-47</v>
      </c>
      <c r="AA1006" s="11">
        <v>6.3</v>
      </c>
      <c r="AB1006" s="11">
        <v>174</v>
      </c>
      <c r="AC1006" s="11">
        <v>-9.5</v>
      </c>
      <c r="AD1006" s="11">
        <v>239</v>
      </c>
      <c r="AE1006" s="11">
        <v>-5.8</v>
      </c>
      <c r="AF1006" s="11">
        <v>258</v>
      </c>
      <c r="AG1006" s="11">
        <v>-4.7</v>
      </c>
      <c r="AH1006" s="11">
        <v>87</v>
      </c>
      <c r="AI1006" s="11">
        <v>87</v>
      </c>
      <c r="AJ1006" s="11">
        <v>172</v>
      </c>
      <c r="AK1006" s="11" t="s">
        <v>34</v>
      </c>
      <c r="AL1006" s="11" t="s">
        <v>44</v>
      </c>
      <c r="AM1006" s="10">
        <v>4.4000000000000004</v>
      </c>
      <c r="AN1006" s="9">
        <v>148</v>
      </c>
      <c r="AO1006" s="8" t="s">
        <v>982</v>
      </c>
      <c r="AP1006" s="8">
        <v>985</v>
      </c>
      <c r="AQ1006" s="8">
        <v>19.899999999999999</v>
      </c>
      <c r="AR1006" s="8">
        <v>24.2</v>
      </c>
      <c r="AS1006" s="8">
        <v>22.2</v>
      </c>
      <c r="AT1006" s="8">
        <v>35</v>
      </c>
      <c r="AU1006" s="8">
        <v>10.3</v>
      </c>
      <c r="AV1006" s="8">
        <v>73</v>
      </c>
      <c r="AW1006" s="8">
        <v>58</v>
      </c>
      <c r="AX1006" s="8">
        <v>433</v>
      </c>
      <c r="AY1006" s="8" t="s">
        <v>64</v>
      </c>
      <c r="AZ1006" s="8" t="s">
        <v>54</v>
      </c>
      <c r="BA1006" s="7" t="s">
        <v>46</v>
      </c>
      <c r="BB1006" s="9">
        <v>129</v>
      </c>
      <c r="BC1006" s="8" t="s">
        <v>981</v>
      </c>
      <c r="BD1006" s="8">
        <v>2.1</v>
      </c>
      <c r="BE1006" s="8">
        <v>2.1</v>
      </c>
      <c r="BF1006" s="8">
        <v>3.1</v>
      </c>
      <c r="BG1006" s="8">
        <v>5</v>
      </c>
      <c r="BH1006" s="8">
        <v>7.4</v>
      </c>
      <c r="BI1006" s="8">
        <v>11</v>
      </c>
      <c r="BJ1006" s="8">
        <v>13.9</v>
      </c>
      <c r="BK1006" s="8">
        <v>12.7</v>
      </c>
      <c r="BL1006" s="8">
        <v>9.3000000000000007</v>
      </c>
      <c r="BM1006" s="8">
        <v>5.8</v>
      </c>
      <c r="BN1006" s="8">
        <v>3.8</v>
      </c>
      <c r="BO1006" s="8">
        <v>2.6</v>
      </c>
      <c r="BP1006" s="7">
        <v>6.6</v>
      </c>
    </row>
    <row r="1007" spans="1:68" ht="14.25" customHeight="1">
      <c r="A1007" s="12">
        <v>350</v>
      </c>
      <c r="B1007" s="14">
        <v>329</v>
      </c>
      <c r="C1007" s="13" t="s">
        <v>30</v>
      </c>
      <c r="D1007" s="13" t="s">
        <v>259</v>
      </c>
      <c r="E1007" s="13" t="s">
        <v>978</v>
      </c>
      <c r="F1007" s="11">
        <v>-24.5</v>
      </c>
      <c r="G1007" s="11">
        <v>-24</v>
      </c>
      <c r="H1007" s="11">
        <v>-16.8</v>
      </c>
      <c r="I1007" s="11">
        <v>-8.8000000000000007</v>
      </c>
      <c r="J1007" s="11">
        <v>-1</v>
      </c>
      <c r="K1007" s="11">
        <v>8.8000000000000007</v>
      </c>
      <c r="L1007" s="11">
        <v>15.5</v>
      </c>
      <c r="M1007" s="11">
        <v>11.4</v>
      </c>
      <c r="N1007" s="11">
        <v>5.6</v>
      </c>
      <c r="O1007" s="11">
        <v>-5.4</v>
      </c>
      <c r="P1007" s="11">
        <v>-16.100000000000001</v>
      </c>
      <c r="Q1007" s="11">
        <v>-21.9</v>
      </c>
      <c r="R1007" s="10">
        <v>-6.4</v>
      </c>
      <c r="S1007" s="12">
        <v>329</v>
      </c>
      <c r="T1007" s="8" t="s">
        <v>980</v>
      </c>
      <c r="U1007" s="11">
        <v>-53</v>
      </c>
      <c r="V1007" s="11">
        <v>-49</v>
      </c>
      <c r="W1007" s="11">
        <v>-47</v>
      </c>
      <c r="X1007" s="11">
        <v>-44</v>
      </c>
      <c r="Y1007" s="11">
        <v>-30</v>
      </c>
      <c r="Z1007" s="11">
        <v>-58</v>
      </c>
      <c r="AA1007" s="11">
        <v>9.6</v>
      </c>
      <c r="AB1007" s="11">
        <v>230</v>
      </c>
      <c r="AC1007" s="11">
        <v>-15.3</v>
      </c>
      <c r="AD1007" s="11">
        <v>283</v>
      </c>
      <c r="AE1007" s="11">
        <v>-11.6</v>
      </c>
      <c r="AF1007" s="11">
        <v>302</v>
      </c>
      <c r="AG1007" s="11">
        <v>-10.4</v>
      </c>
      <c r="AH1007" s="11">
        <v>78</v>
      </c>
      <c r="AI1007" s="11">
        <v>78</v>
      </c>
      <c r="AJ1007" s="11">
        <v>118</v>
      </c>
      <c r="AK1007" s="11" t="s">
        <v>39</v>
      </c>
      <c r="AL1007" s="11" t="s">
        <v>44</v>
      </c>
      <c r="AM1007" s="10" t="s">
        <v>44</v>
      </c>
      <c r="AN1007" s="9">
        <v>329</v>
      </c>
      <c r="AO1007" s="8" t="s">
        <v>979</v>
      </c>
      <c r="AP1007" s="8">
        <v>1010</v>
      </c>
      <c r="AQ1007" s="8">
        <v>18.5</v>
      </c>
      <c r="AR1007" s="8">
        <v>22.8</v>
      </c>
      <c r="AS1007" s="8">
        <v>20.9</v>
      </c>
      <c r="AT1007" s="8">
        <v>35</v>
      </c>
      <c r="AU1007" s="8">
        <v>10.5</v>
      </c>
      <c r="AV1007" s="8">
        <v>70</v>
      </c>
      <c r="AW1007" s="8">
        <v>55</v>
      </c>
      <c r="AX1007" s="8">
        <v>366</v>
      </c>
      <c r="AY1007" s="8" t="s">
        <v>64</v>
      </c>
      <c r="AZ1007" s="8" t="s">
        <v>32</v>
      </c>
      <c r="BA1007" s="7" t="s">
        <v>46</v>
      </c>
      <c r="BB1007" s="9">
        <v>297</v>
      </c>
      <c r="BC1007" s="8" t="s">
        <v>978</v>
      </c>
      <c r="BD1007" s="8">
        <v>1</v>
      </c>
      <c r="BE1007" s="8">
        <v>1</v>
      </c>
      <c r="BF1007" s="8">
        <v>1.7</v>
      </c>
      <c r="BG1007" s="8">
        <v>2.8</v>
      </c>
      <c r="BH1007" s="8">
        <v>4.4000000000000004</v>
      </c>
      <c r="BI1007" s="8">
        <v>8.1</v>
      </c>
      <c r="BJ1007" s="8">
        <v>12.2</v>
      </c>
      <c r="BK1007" s="8">
        <v>10.6</v>
      </c>
      <c r="BL1007" s="8">
        <v>7.8</v>
      </c>
      <c r="BM1007" s="8">
        <v>3.9</v>
      </c>
      <c r="BN1007" s="8">
        <v>2</v>
      </c>
      <c r="BO1007" s="8">
        <v>1.2</v>
      </c>
      <c r="BP1007" s="7">
        <v>4.7</v>
      </c>
    </row>
    <row r="1008" spans="1:68" ht="14.25" customHeight="1">
      <c r="A1008" s="12">
        <v>351</v>
      </c>
      <c r="B1008" s="14">
        <v>98</v>
      </c>
      <c r="C1008" s="13" t="s">
        <v>30</v>
      </c>
      <c r="D1008" s="13" t="s">
        <v>300</v>
      </c>
      <c r="E1008" s="13" t="s">
        <v>975</v>
      </c>
      <c r="F1008" s="11">
        <v>-35.1</v>
      </c>
      <c r="G1008" s="11">
        <v>-31.3</v>
      </c>
      <c r="H1008" s="11">
        <v>-18.399999999999999</v>
      </c>
      <c r="I1008" s="11">
        <v>-6.5</v>
      </c>
      <c r="J1008" s="11">
        <v>3.8</v>
      </c>
      <c r="K1008" s="11">
        <v>13.3</v>
      </c>
      <c r="L1008" s="11">
        <v>16.7</v>
      </c>
      <c r="M1008" s="11">
        <v>12.6</v>
      </c>
      <c r="N1008" s="11">
        <v>4.8</v>
      </c>
      <c r="O1008" s="11">
        <v>-6.5</v>
      </c>
      <c r="P1008" s="11">
        <v>-24.8</v>
      </c>
      <c r="Q1008" s="11">
        <v>-33.700000000000003</v>
      </c>
      <c r="R1008" s="10">
        <v>-8.8000000000000007</v>
      </c>
      <c r="S1008" s="12">
        <v>98</v>
      </c>
      <c r="T1008" s="8" t="s">
        <v>977</v>
      </c>
      <c r="U1008" s="11">
        <v>-59</v>
      </c>
      <c r="V1008" s="11">
        <v>-57</v>
      </c>
      <c r="W1008" s="11">
        <v>-56</v>
      </c>
      <c r="X1008" s="11">
        <v>-54</v>
      </c>
      <c r="Y1008" s="11">
        <v>-40</v>
      </c>
      <c r="Z1008" s="11">
        <v>-61</v>
      </c>
      <c r="AA1008" s="11">
        <v>11.7</v>
      </c>
      <c r="AB1008" s="11">
        <v>218</v>
      </c>
      <c r="AC1008" s="11">
        <v>-21.3</v>
      </c>
      <c r="AD1008" s="11">
        <v>268</v>
      </c>
      <c r="AE1008" s="11">
        <v>-16.5</v>
      </c>
      <c r="AF1008" s="11">
        <v>283</v>
      </c>
      <c r="AG1008" s="11">
        <v>-15.2</v>
      </c>
      <c r="AH1008" s="11">
        <v>77</v>
      </c>
      <c r="AI1008" s="11">
        <v>77</v>
      </c>
      <c r="AJ1008" s="11">
        <v>94</v>
      </c>
      <c r="AK1008" s="11" t="s">
        <v>44</v>
      </c>
      <c r="AL1008" s="11" t="s">
        <v>44</v>
      </c>
      <c r="AM1008" s="10">
        <v>1.8</v>
      </c>
      <c r="AN1008" s="9">
        <v>98</v>
      </c>
      <c r="AO1008" s="8" t="s">
        <v>976</v>
      </c>
      <c r="AP1008" s="8">
        <v>975</v>
      </c>
      <c r="AQ1008" s="8">
        <v>21.5</v>
      </c>
      <c r="AR1008" s="8">
        <v>25.7</v>
      </c>
      <c r="AS1008" s="8">
        <v>23.9</v>
      </c>
      <c r="AT1008" s="8">
        <v>37</v>
      </c>
      <c r="AU1008" s="8">
        <v>15.1</v>
      </c>
      <c r="AV1008" s="8">
        <v>69</v>
      </c>
      <c r="AW1008" s="8">
        <v>50</v>
      </c>
      <c r="AX1008" s="8">
        <v>308</v>
      </c>
      <c r="AY1008" s="8" t="s">
        <v>64</v>
      </c>
      <c r="AZ1008" s="8" t="s">
        <v>114</v>
      </c>
      <c r="BA1008" s="7" t="s">
        <v>46</v>
      </c>
      <c r="BB1008" s="9">
        <v>82</v>
      </c>
      <c r="BC1008" s="8" t="s">
        <v>975</v>
      </c>
      <c r="BD1008" s="8">
        <v>0.4</v>
      </c>
      <c r="BE1008" s="8">
        <v>0.6</v>
      </c>
      <c r="BF1008" s="8">
        <v>1.3</v>
      </c>
      <c r="BG1008" s="8">
        <v>2.5</v>
      </c>
      <c r="BH1008" s="8">
        <v>4.8</v>
      </c>
      <c r="BI1008" s="8">
        <v>9.1</v>
      </c>
      <c r="BJ1008" s="8">
        <v>12.4</v>
      </c>
      <c r="BK1008" s="8">
        <v>10.8</v>
      </c>
      <c r="BL1008" s="8">
        <v>6.6</v>
      </c>
      <c r="BM1008" s="8">
        <v>3.3</v>
      </c>
      <c r="BN1008" s="8">
        <v>1.1000000000000001</v>
      </c>
      <c r="BO1008" s="8">
        <v>0.5</v>
      </c>
      <c r="BP1008" s="7">
        <v>4.4000000000000004</v>
      </c>
    </row>
    <row r="1009" spans="1:68" ht="14.25" customHeight="1">
      <c r="A1009" s="12">
        <v>352</v>
      </c>
      <c r="B1009" s="14">
        <v>108</v>
      </c>
      <c r="C1009" s="13" t="s">
        <v>30</v>
      </c>
      <c r="D1009" s="13" t="s">
        <v>974</v>
      </c>
      <c r="E1009" s="13" t="s">
        <v>971</v>
      </c>
      <c r="F1009" s="11">
        <v>-4</v>
      </c>
      <c r="G1009" s="11">
        <v>-2.8</v>
      </c>
      <c r="H1009" s="11">
        <v>1.8</v>
      </c>
      <c r="I1009" s="11">
        <v>9.5</v>
      </c>
      <c r="J1009" s="11">
        <v>15.4</v>
      </c>
      <c r="K1009" s="11">
        <v>19.100000000000001</v>
      </c>
      <c r="L1009" s="11">
        <v>21.6</v>
      </c>
      <c r="M1009" s="11">
        <v>21</v>
      </c>
      <c r="N1009" s="11">
        <v>16</v>
      </c>
      <c r="O1009" s="11">
        <v>9.4</v>
      </c>
      <c r="P1009" s="11">
        <v>3.8</v>
      </c>
      <c r="Q1009" s="11">
        <v>-1.3</v>
      </c>
      <c r="R1009" s="10">
        <v>9.1</v>
      </c>
      <c r="S1009" s="12">
        <v>108</v>
      </c>
      <c r="T1009" s="8" t="s">
        <v>973</v>
      </c>
      <c r="U1009" s="11">
        <v>-24</v>
      </c>
      <c r="V1009" s="11">
        <v>-21</v>
      </c>
      <c r="W1009" s="11">
        <v>-20</v>
      </c>
      <c r="X1009" s="11">
        <v>-18</v>
      </c>
      <c r="Y1009" s="11">
        <v>-9</v>
      </c>
      <c r="Z1009" s="11">
        <v>-31</v>
      </c>
      <c r="AA1009" s="11">
        <v>7</v>
      </c>
      <c r="AB1009" s="11">
        <v>86</v>
      </c>
      <c r="AC1009" s="11">
        <v>-2.5</v>
      </c>
      <c r="AD1009" s="11">
        <v>168</v>
      </c>
      <c r="AE1009" s="11">
        <v>0.6</v>
      </c>
      <c r="AF1009" s="11">
        <v>187</v>
      </c>
      <c r="AG1009" s="11">
        <v>1.4</v>
      </c>
      <c r="AH1009" s="11">
        <v>86</v>
      </c>
      <c r="AI1009" s="11">
        <v>81</v>
      </c>
      <c r="AJ1009" s="11">
        <v>136</v>
      </c>
      <c r="AK1009" s="11" t="s">
        <v>39</v>
      </c>
      <c r="AL1009" s="11">
        <v>2.5</v>
      </c>
      <c r="AM1009" s="10">
        <v>1.8</v>
      </c>
      <c r="AN1009" s="9">
        <v>108</v>
      </c>
      <c r="AO1009" s="8" t="s">
        <v>972</v>
      </c>
      <c r="AP1009" s="8">
        <v>970</v>
      </c>
      <c r="AQ1009" s="8">
        <v>24.6</v>
      </c>
      <c r="AR1009" s="8">
        <v>28.6</v>
      </c>
      <c r="AS1009" s="8">
        <v>27</v>
      </c>
      <c r="AT1009" s="8">
        <v>39</v>
      </c>
      <c r="AU1009" s="8">
        <v>10.4</v>
      </c>
      <c r="AV1009" s="8">
        <v>68</v>
      </c>
      <c r="AW1009" s="8">
        <v>54</v>
      </c>
      <c r="AX1009" s="8">
        <v>505</v>
      </c>
      <c r="AY1009" s="8" t="s">
        <v>64</v>
      </c>
      <c r="AZ1009" s="8" t="s">
        <v>82</v>
      </c>
      <c r="BA1009" s="7">
        <v>0</v>
      </c>
      <c r="BB1009" s="9">
        <v>92</v>
      </c>
      <c r="BC1009" s="8" t="s">
        <v>971</v>
      </c>
      <c r="BD1009" s="8">
        <v>4.0999999999999996</v>
      </c>
      <c r="BE1009" s="8">
        <v>4.4000000000000004</v>
      </c>
      <c r="BF1009" s="8">
        <v>5.7</v>
      </c>
      <c r="BG1009" s="8">
        <v>8.5</v>
      </c>
      <c r="BH1009" s="8">
        <v>12.4</v>
      </c>
      <c r="BI1009" s="8">
        <v>15.2</v>
      </c>
      <c r="BJ1009" s="8">
        <v>17.3</v>
      </c>
      <c r="BK1009" s="8">
        <v>16.899999999999999</v>
      </c>
      <c r="BL1009" s="8">
        <v>13.6</v>
      </c>
      <c r="BM1009" s="8">
        <v>9.5</v>
      </c>
      <c r="BN1009" s="8">
        <v>6.9</v>
      </c>
      <c r="BO1009" s="8">
        <v>5</v>
      </c>
      <c r="BP1009" s="7">
        <v>10</v>
      </c>
    </row>
    <row r="1010" spans="1:68" ht="14.25" customHeight="1">
      <c r="A1010" s="12">
        <v>353</v>
      </c>
      <c r="B1010" s="14">
        <v>595</v>
      </c>
      <c r="C1010" s="13" t="s">
        <v>117</v>
      </c>
      <c r="D1010" s="13" t="s">
        <v>970</v>
      </c>
      <c r="E1010" s="13" t="s">
        <v>968</v>
      </c>
      <c r="F1010" s="11">
        <v>-2</v>
      </c>
      <c r="G1010" s="11">
        <v>1.1000000000000001</v>
      </c>
      <c r="H1010" s="11">
        <v>8.5</v>
      </c>
      <c r="I1010" s="11">
        <v>16.2</v>
      </c>
      <c r="J1010" s="11">
        <v>21.5</v>
      </c>
      <c r="K1010" s="11">
        <v>25.7</v>
      </c>
      <c r="L1010" s="11">
        <v>27.2</v>
      </c>
      <c r="M1010" s="11">
        <v>25.2</v>
      </c>
      <c r="N1010" s="11">
        <v>20.2</v>
      </c>
      <c r="O1010" s="11">
        <v>13.5</v>
      </c>
      <c r="P1010" s="11">
        <v>5.9</v>
      </c>
      <c r="Q1010" s="11">
        <v>0.2</v>
      </c>
      <c r="R1010" s="10">
        <v>13.7</v>
      </c>
      <c r="S1010" s="12">
        <v>584</v>
      </c>
      <c r="T1010" s="8" t="s">
        <v>968</v>
      </c>
      <c r="U1010" s="11">
        <v>-20</v>
      </c>
      <c r="V1010" s="11">
        <v>-17</v>
      </c>
      <c r="W1010" s="11">
        <v>-17</v>
      </c>
      <c r="X1010" s="11" t="s">
        <v>64</v>
      </c>
      <c r="Y1010" s="11">
        <v>-6</v>
      </c>
      <c r="Z1010" s="11">
        <v>-26</v>
      </c>
      <c r="AA1010" s="11">
        <v>8.6999999999999993</v>
      </c>
      <c r="AB1010" s="11">
        <v>52</v>
      </c>
      <c r="AC1010" s="11" t="s">
        <v>45</v>
      </c>
      <c r="AD1010" s="11">
        <v>128</v>
      </c>
      <c r="AE1010" s="11">
        <v>1.5</v>
      </c>
      <c r="AF1010" s="11" t="s">
        <v>114</v>
      </c>
      <c r="AG1010" s="11" t="s">
        <v>44</v>
      </c>
      <c r="AH1010" s="11" t="s">
        <v>49</v>
      </c>
      <c r="AI1010" s="11" t="s">
        <v>49</v>
      </c>
      <c r="AJ1010" s="11" t="s">
        <v>84</v>
      </c>
      <c r="AK1010" s="11" t="s">
        <v>44</v>
      </c>
      <c r="AL1010" s="11">
        <v>2</v>
      </c>
      <c r="AM1010" s="10" t="s">
        <v>44</v>
      </c>
      <c r="AN1010" s="9">
        <v>585</v>
      </c>
      <c r="AO1010" s="8" t="s">
        <v>969</v>
      </c>
      <c r="AP1010" s="8">
        <v>970</v>
      </c>
      <c r="AQ1010" s="8">
        <v>32.1</v>
      </c>
      <c r="AR1010" s="8">
        <v>35.700000000000003</v>
      </c>
      <c r="AS1010" s="8">
        <v>34.9</v>
      </c>
      <c r="AT1010" s="8">
        <v>42</v>
      </c>
      <c r="AU1010" s="8">
        <v>14.6</v>
      </c>
      <c r="AV1010" s="8" t="s">
        <v>45</v>
      </c>
      <c r="AW1010" s="8" t="s">
        <v>44</v>
      </c>
      <c r="AX1010" s="8" t="s">
        <v>44</v>
      </c>
      <c r="AY1010" s="8" t="s">
        <v>64</v>
      </c>
      <c r="AZ1010" s="8" t="s">
        <v>114</v>
      </c>
      <c r="BA1010" s="7">
        <v>0</v>
      </c>
      <c r="BB1010" s="9"/>
      <c r="BC1010" s="8" t="s">
        <v>968</v>
      </c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7"/>
    </row>
    <row r="1011" spans="1:68" ht="14.25" customHeight="1">
      <c r="A1011" s="12">
        <v>354</v>
      </c>
      <c r="B1011" s="14">
        <v>542</v>
      </c>
      <c r="C1011" s="13" t="s">
        <v>158</v>
      </c>
      <c r="D1011" s="13" t="s">
        <v>540</v>
      </c>
      <c r="E1011" s="13" t="s">
        <v>966</v>
      </c>
      <c r="F1011" s="11">
        <v>-17.3</v>
      </c>
      <c r="G1011" s="11">
        <v>-14.4</v>
      </c>
      <c r="H1011" s="11">
        <v>-4.5</v>
      </c>
      <c r="I1011" s="11">
        <v>6.3</v>
      </c>
      <c r="J1011" s="11">
        <v>11.4</v>
      </c>
      <c r="K1011" s="11">
        <v>14.4</v>
      </c>
      <c r="L1011" s="11">
        <v>17</v>
      </c>
      <c r="M1011" s="11">
        <v>16.8</v>
      </c>
      <c r="N1011" s="11">
        <v>12.4</v>
      </c>
      <c r="O1011" s="11">
        <v>5.3</v>
      </c>
      <c r="P1011" s="11">
        <v>-4.5</v>
      </c>
      <c r="Q1011" s="11">
        <v>-13.4</v>
      </c>
      <c r="R1011" s="10">
        <v>2.5</v>
      </c>
      <c r="S1011" s="12">
        <v>542</v>
      </c>
      <c r="T1011" s="8" t="s">
        <v>966</v>
      </c>
      <c r="U1011" s="11">
        <v>-33</v>
      </c>
      <c r="V1011" s="11">
        <v>-31</v>
      </c>
      <c r="W1011" s="11">
        <v>-32</v>
      </c>
      <c r="X1011" s="11">
        <v>-29</v>
      </c>
      <c r="Y1011" s="11" t="s">
        <v>49</v>
      </c>
      <c r="Z1011" s="11">
        <v>-38</v>
      </c>
      <c r="AA1011" s="11">
        <v>10.7</v>
      </c>
      <c r="AB1011" s="11" t="s">
        <v>84</v>
      </c>
      <c r="AC1011" s="11" t="s">
        <v>45</v>
      </c>
      <c r="AD1011" s="11" t="s">
        <v>84</v>
      </c>
      <c r="AE1011" s="11" t="s">
        <v>44</v>
      </c>
      <c r="AF1011" s="11" t="s">
        <v>114</v>
      </c>
      <c r="AG1011" s="11" t="s">
        <v>44</v>
      </c>
      <c r="AH1011" s="11">
        <v>80</v>
      </c>
      <c r="AI1011" s="11">
        <v>69</v>
      </c>
      <c r="AJ1011" s="11" t="s">
        <v>84</v>
      </c>
      <c r="AK1011" s="11" t="s">
        <v>48</v>
      </c>
      <c r="AL1011" s="11">
        <v>2.1</v>
      </c>
      <c r="AM1011" s="10" t="s">
        <v>44</v>
      </c>
      <c r="AN1011" s="9">
        <v>542</v>
      </c>
      <c r="AO1011" s="8" t="s">
        <v>967</v>
      </c>
      <c r="AP1011" s="8" t="s">
        <v>64</v>
      </c>
      <c r="AQ1011" s="8" t="s">
        <v>45</v>
      </c>
      <c r="AR1011" s="8" t="s">
        <v>44</v>
      </c>
      <c r="AS1011" s="8" t="s">
        <v>45</v>
      </c>
      <c r="AT1011" s="8">
        <v>35</v>
      </c>
      <c r="AU1011" s="8">
        <v>14.7</v>
      </c>
      <c r="AV1011" s="8">
        <v>50</v>
      </c>
      <c r="AW1011" s="8">
        <v>34</v>
      </c>
      <c r="AX1011" s="8">
        <v>254</v>
      </c>
      <c r="AY1011" s="8">
        <v>42</v>
      </c>
      <c r="AZ1011" s="8" t="s">
        <v>151</v>
      </c>
      <c r="BA1011" s="7">
        <v>1.6</v>
      </c>
      <c r="BB1011" s="9"/>
      <c r="BC1011" s="8" t="s">
        <v>966</v>
      </c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7"/>
    </row>
    <row r="1012" spans="1:68" ht="14.25" customHeight="1">
      <c r="A1012" s="12">
        <v>355</v>
      </c>
      <c r="B1012" s="14">
        <v>454</v>
      </c>
      <c r="C1012" s="13" t="s">
        <v>30</v>
      </c>
      <c r="D1012" s="13" t="s">
        <v>230</v>
      </c>
      <c r="E1012" s="13" t="s">
        <v>964</v>
      </c>
      <c r="F1012" s="11">
        <v>-16.899999999999999</v>
      </c>
      <c r="G1012" s="11">
        <v>-17.3</v>
      </c>
      <c r="H1012" s="11">
        <v>-14.3</v>
      </c>
      <c r="I1012" s="11">
        <v>-6.7</v>
      </c>
      <c r="J1012" s="11">
        <v>-0.3</v>
      </c>
      <c r="K1012" s="11">
        <v>7.4</v>
      </c>
      <c r="L1012" s="11">
        <v>12.7</v>
      </c>
      <c r="M1012" s="11">
        <v>11</v>
      </c>
      <c r="N1012" s="11">
        <v>5.6</v>
      </c>
      <c r="O1012" s="11">
        <v>-1.6</v>
      </c>
      <c r="P1012" s="11">
        <v>-8.4</v>
      </c>
      <c r="Q1012" s="11">
        <v>-13.7</v>
      </c>
      <c r="R1012" s="10">
        <v>-3.5</v>
      </c>
      <c r="S1012" s="12">
        <v>454</v>
      </c>
      <c r="T1012" s="8" t="s">
        <v>964</v>
      </c>
      <c r="U1012" s="11">
        <v>-44</v>
      </c>
      <c r="V1012" s="11">
        <v>-42</v>
      </c>
      <c r="W1012" s="11">
        <v>-40</v>
      </c>
      <c r="X1012" s="11">
        <v>-37</v>
      </c>
      <c r="Y1012" s="11">
        <v>-22</v>
      </c>
      <c r="Z1012" s="11">
        <v>-48</v>
      </c>
      <c r="AA1012" s="11">
        <v>8.6</v>
      </c>
      <c r="AB1012" s="11">
        <v>220</v>
      </c>
      <c r="AC1012" s="11">
        <v>-10.7</v>
      </c>
      <c r="AD1012" s="11">
        <v>290</v>
      </c>
      <c r="AE1012" s="11">
        <v>-7.2</v>
      </c>
      <c r="AF1012" s="11">
        <v>313</v>
      </c>
      <c r="AG1012" s="11">
        <v>-6</v>
      </c>
      <c r="AH1012" s="11">
        <v>83</v>
      </c>
      <c r="AI1012" s="11">
        <v>80</v>
      </c>
      <c r="AJ1012" s="11">
        <v>123</v>
      </c>
      <c r="AK1012" s="11" t="s">
        <v>34</v>
      </c>
      <c r="AL1012" s="11">
        <v>6.3</v>
      </c>
      <c r="AM1012" s="10">
        <v>5</v>
      </c>
      <c r="AN1012" s="9">
        <v>454</v>
      </c>
      <c r="AO1012" s="8" t="s">
        <v>965</v>
      </c>
      <c r="AP1012" s="8">
        <v>1010</v>
      </c>
      <c r="AQ1012" s="8">
        <v>15.2</v>
      </c>
      <c r="AR1012" s="8">
        <v>19.7</v>
      </c>
      <c r="AS1012" s="8">
        <v>17.600000000000001</v>
      </c>
      <c r="AT1012" s="8">
        <v>33</v>
      </c>
      <c r="AU1012" s="8">
        <v>9.1999999999999993</v>
      </c>
      <c r="AV1012" s="8">
        <v>75</v>
      </c>
      <c r="AW1012" s="8">
        <v>61</v>
      </c>
      <c r="AX1012" s="8">
        <v>307</v>
      </c>
      <c r="AY1012" s="8">
        <v>54</v>
      </c>
      <c r="AZ1012" s="8" t="s">
        <v>32</v>
      </c>
      <c r="BA1012" s="7">
        <v>5.2</v>
      </c>
      <c r="BB1012" s="9">
        <v>416</v>
      </c>
      <c r="BC1012" s="8" t="s">
        <v>964</v>
      </c>
      <c r="BD1012" s="8">
        <v>1.8</v>
      </c>
      <c r="BE1012" s="8">
        <v>1.7</v>
      </c>
      <c r="BF1012" s="8">
        <v>2.2000000000000002</v>
      </c>
      <c r="BG1012" s="8">
        <v>3.5</v>
      </c>
      <c r="BH1012" s="8">
        <v>4.9000000000000004</v>
      </c>
      <c r="BI1012" s="8">
        <v>7.7</v>
      </c>
      <c r="BJ1012" s="8">
        <v>11.1</v>
      </c>
      <c r="BK1012" s="8">
        <v>10.7</v>
      </c>
      <c r="BL1012" s="8">
        <v>8.1</v>
      </c>
      <c r="BM1012" s="8">
        <v>5.0999999999999996</v>
      </c>
      <c r="BN1012" s="8">
        <v>3.3</v>
      </c>
      <c r="BO1012" s="8">
        <v>2.4</v>
      </c>
      <c r="BP1012" s="7">
        <v>5.2</v>
      </c>
    </row>
    <row r="1013" spans="1:68" ht="14.25" customHeight="1">
      <c r="A1013" s="12">
        <v>356</v>
      </c>
      <c r="B1013" s="14">
        <v>119</v>
      </c>
      <c r="C1013" s="13" t="s">
        <v>30</v>
      </c>
      <c r="D1013" s="13" t="s">
        <v>293</v>
      </c>
      <c r="E1013" s="13" t="s">
        <v>961</v>
      </c>
      <c r="F1013" s="11">
        <v>-18.3</v>
      </c>
      <c r="G1013" s="11">
        <v>-16.5</v>
      </c>
      <c r="H1013" s="11">
        <v>-11.8</v>
      </c>
      <c r="I1013" s="11">
        <v>-4.4000000000000004</v>
      </c>
      <c r="J1013" s="11">
        <v>1.9</v>
      </c>
      <c r="K1013" s="11">
        <v>7.7</v>
      </c>
      <c r="L1013" s="11">
        <v>12</v>
      </c>
      <c r="M1013" s="11">
        <v>11.8</v>
      </c>
      <c r="N1013" s="11">
        <v>7.3</v>
      </c>
      <c r="O1013" s="11">
        <v>0.5</v>
      </c>
      <c r="P1013" s="11">
        <v>-9.4</v>
      </c>
      <c r="Q1013" s="11">
        <v>-16.399999999999999</v>
      </c>
      <c r="R1013" s="10">
        <v>-3</v>
      </c>
      <c r="S1013" s="12">
        <v>119</v>
      </c>
      <c r="T1013" s="8" t="s">
        <v>963</v>
      </c>
      <c r="U1013" s="11">
        <v>-40</v>
      </c>
      <c r="V1013" s="11">
        <v>-39</v>
      </c>
      <c r="W1013" s="11">
        <v>-37</v>
      </c>
      <c r="X1013" s="11">
        <v>-36</v>
      </c>
      <c r="Y1013" s="11">
        <v>-23</v>
      </c>
      <c r="Z1013" s="11">
        <v>-51</v>
      </c>
      <c r="AA1013" s="11">
        <v>14.8</v>
      </c>
      <c r="AB1013" s="11">
        <v>201</v>
      </c>
      <c r="AC1013" s="11">
        <v>-11.4</v>
      </c>
      <c r="AD1013" s="11">
        <v>280</v>
      </c>
      <c r="AE1013" s="11">
        <v>-7</v>
      </c>
      <c r="AF1013" s="11">
        <v>308</v>
      </c>
      <c r="AG1013" s="11">
        <v>-5.6</v>
      </c>
      <c r="AH1013" s="11">
        <v>80</v>
      </c>
      <c r="AI1013" s="11">
        <v>77</v>
      </c>
      <c r="AJ1013" s="11">
        <v>508</v>
      </c>
      <c r="AK1013" s="11" t="s">
        <v>75</v>
      </c>
      <c r="AL1013" s="11">
        <v>5.4</v>
      </c>
      <c r="AM1013" s="10">
        <v>2.6</v>
      </c>
      <c r="AN1013" s="9">
        <v>119</v>
      </c>
      <c r="AO1013" s="8" t="s">
        <v>962</v>
      </c>
      <c r="AP1013" s="8">
        <v>980</v>
      </c>
      <c r="AQ1013" s="8">
        <v>15.6</v>
      </c>
      <c r="AR1013" s="8">
        <v>20.100000000000001</v>
      </c>
      <c r="AS1013" s="8">
        <v>18</v>
      </c>
      <c r="AT1013" s="8">
        <v>30</v>
      </c>
      <c r="AU1013" s="8">
        <v>11</v>
      </c>
      <c r="AV1013" s="8">
        <v>82</v>
      </c>
      <c r="AW1013" s="8">
        <v>66</v>
      </c>
      <c r="AX1013" s="8">
        <v>554</v>
      </c>
      <c r="AY1013" s="8">
        <v>105</v>
      </c>
      <c r="AZ1013" s="8" t="s">
        <v>82</v>
      </c>
      <c r="BA1013" s="7">
        <v>0</v>
      </c>
      <c r="BB1013" s="9">
        <v>103</v>
      </c>
      <c r="BC1013" s="8" t="s">
        <v>961</v>
      </c>
      <c r="BD1013" s="8">
        <v>1.6</v>
      </c>
      <c r="BE1013" s="8">
        <v>1.6</v>
      </c>
      <c r="BF1013" s="8">
        <v>2.1</v>
      </c>
      <c r="BG1013" s="8">
        <v>3.4</v>
      </c>
      <c r="BH1013" s="8">
        <v>5.2</v>
      </c>
      <c r="BI1013" s="8">
        <v>7.8</v>
      </c>
      <c r="BJ1013" s="8">
        <v>11.4</v>
      </c>
      <c r="BK1013" s="8">
        <v>11.7</v>
      </c>
      <c r="BL1013" s="8">
        <v>8.4</v>
      </c>
      <c r="BM1013" s="8">
        <v>5.2</v>
      </c>
      <c r="BN1013" s="8">
        <v>2.8</v>
      </c>
      <c r="BO1013" s="8">
        <v>1.9</v>
      </c>
      <c r="BP1013" s="7">
        <v>5.3</v>
      </c>
    </row>
    <row r="1014" spans="1:68" ht="14.25" customHeight="1">
      <c r="A1014" s="12">
        <v>357</v>
      </c>
      <c r="B1014" s="14">
        <v>558</v>
      </c>
      <c r="C1014" s="17" t="s">
        <v>208</v>
      </c>
      <c r="D1014" s="17" t="s">
        <v>217</v>
      </c>
      <c r="E1014" s="13" t="s">
        <v>959</v>
      </c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0"/>
      <c r="S1014" s="16">
        <v>558</v>
      </c>
      <c r="T1014" s="8" t="s">
        <v>959</v>
      </c>
      <c r="U1014" s="11">
        <v>-19</v>
      </c>
      <c r="V1014" s="11">
        <v>-16</v>
      </c>
      <c r="W1014" s="11">
        <v>-15</v>
      </c>
      <c r="X1014" s="11">
        <v>-11</v>
      </c>
      <c r="Y1014" s="11">
        <v>-2</v>
      </c>
      <c r="Z1014" s="11">
        <v>-24</v>
      </c>
      <c r="AA1014" s="11">
        <v>8.3000000000000007</v>
      </c>
      <c r="AB1014" s="11">
        <v>0</v>
      </c>
      <c r="AC1014" s="11" t="s">
        <v>50</v>
      </c>
      <c r="AD1014" s="11">
        <v>99</v>
      </c>
      <c r="AE1014" s="11">
        <v>4.7</v>
      </c>
      <c r="AF1014" s="11">
        <v>114</v>
      </c>
      <c r="AG1014" s="11">
        <v>5.3</v>
      </c>
      <c r="AH1014" s="11" t="s">
        <v>49</v>
      </c>
      <c r="AI1014" s="11">
        <v>57</v>
      </c>
      <c r="AJ1014" s="11">
        <v>81</v>
      </c>
      <c r="AK1014" s="11" t="s">
        <v>66</v>
      </c>
      <c r="AL1014" s="11">
        <v>7.6</v>
      </c>
      <c r="AM1014" s="10" t="s">
        <v>44</v>
      </c>
      <c r="AN1014" s="9">
        <v>559</v>
      </c>
      <c r="AO1014" s="8" t="s">
        <v>960</v>
      </c>
      <c r="AP1014" s="8">
        <v>1015</v>
      </c>
      <c r="AQ1014" s="8">
        <v>41</v>
      </c>
      <c r="AR1014" s="8">
        <v>35</v>
      </c>
      <c r="AS1014" s="8">
        <v>38.5</v>
      </c>
      <c r="AT1014" s="8">
        <v>48</v>
      </c>
      <c r="AU1014" s="8">
        <v>12.4</v>
      </c>
      <c r="AV1014" s="8">
        <v>36</v>
      </c>
      <c r="AW1014" s="8">
        <v>22</v>
      </c>
      <c r="AX1014" s="8">
        <v>70</v>
      </c>
      <c r="AY1014" s="8">
        <v>55</v>
      </c>
      <c r="AZ1014" s="8" t="s">
        <v>63</v>
      </c>
      <c r="BA1014" s="7">
        <v>3.2</v>
      </c>
      <c r="BB1014" s="9"/>
      <c r="BC1014" s="8" t="s">
        <v>959</v>
      </c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7"/>
    </row>
    <row r="1015" spans="1:68" ht="14.25" customHeight="1">
      <c r="A1015" s="12">
        <v>358</v>
      </c>
      <c r="B1015" s="14">
        <v>293</v>
      </c>
      <c r="C1015" s="13" t="s">
        <v>30</v>
      </c>
      <c r="D1015" s="13" t="s">
        <v>72</v>
      </c>
      <c r="E1015" s="13" t="s">
        <v>956</v>
      </c>
      <c r="F1015" s="11">
        <v>-8.6</v>
      </c>
      <c r="G1015" s="11">
        <v>-8</v>
      </c>
      <c r="H1015" s="11">
        <v>-3.7</v>
      </c>
      <c r="I1015" s="11">
        <v>2.4</v>
      </c>
      <c r="J1015" s="11">
        <v>7</v>
      </c>
      <c r="K1015" s="11">
        <v>11.2</v>
      </c>
      <c r="L1015" s="11">
        <v>15.7</v>
      </c>
      <c r="M1015" s="11">
        <v>17.7</v>
      </c>
      <c r="N1015" s="11">
        <v>14.5</v>
      </c>
      <c r="O1015" s="11">
        <v>8.1999999999999993</v>
      </c>
      <c r="P1015" s="11">
        <v>0.6</v>
      </c>
      <c r="Q1015" s="11">
        <v>-5.2</v>
      </c>
      <c r="R1015" s="10">
        <v>4.3</v>
      </c>
      <c r="S1015" s="12">
        <v>293</v>
      </c>
      <c r="T1015" s="8" t="s">
        <v>958</v>
      </c>
      <c r="U1015" s="11">
        <v>-20</v>
      </c>
      <c r="V1015" s="11">
        <v>-19</v>
      </c>
      <c r="W1015" s="11">
        <v>-18</v>
      </c>
      <c r="X1015" s="11">
        <v>-16</v>
      </c>
      <c r="Y1015" s="11">
        <v>-14</v>
      </c>
      <c r="Z1015" s="11">
        <v>-25</v>
      </c>
      <c r="AA1015" s="11">
        <v>5.4</v>
      </c>
      <c r="AB1015" s="11">
        <v>136</v>
      </c>
      <c r="AC1015" s="11">
        <v>-5.4</v>
      </c>
      <c r="AD1015" s="11">
        <v>218</v>
      </c>
      <c r="AE1015" s="11">
        <v>-1.8</v>
      </c>
      <c r="AF1015" s="11">
        <v>242</v>
      </c>
      <c r="AG1015" s="11">
        <v>-0.7</v>
      </c>
      <c r="AH1015" s="11">
        <v>72</v>
      </c>
      <c r="AI1015" s="11">
        <v>66</v>
      </c>
      <c r="AJ1015" s="11">
        <v>332</v>
      </c>
      <c r="AK1015" s="11" t="s">
        <v>56</v>
      </c>
      <c r="AL1015" s="11">
        <v>7</v>
      </c>
      <c r="AM1015" s="10">
        <v>7</v>
      </c>
      <c r="AN1015" s="9">
        <v>287</v>
      </c>
      <c r="AO1015" s="8" t="s">
        <v>957</v>
      </c>
      <c r="AP1015" s="8">
        <v>995</v>
      </c>
      <c r="AQ1015" s="8">
        <v>18.5</v>
      </c>
      <c r="AR1015" s="8">
        <v>22.8</v>
      </c>
      <c r="AS1015" s="8">
        <v>20.9</v>
      </c>
      <c r="AT1015" s="8">
        <v>30</v>
      </c>
      <c r="AU1015" s="8">
        <v>6.2</v>
      </c>
      <c r="AV1015" s="8">
        <v>85</v>
      </c>
      <c r="AW1015" s="8">
        <v>81</v>
      </c>
      <c r="AX1015" s="8">
        <v>579</v>
      </c>
      <c r="AY1015" s="8">
        <v>135</v>
      </c>
      <c r="AZ1015" s="8" t="s">
        <v>63</v>
      </c>
      <c r="BA1015" s="7">
        <v>3.1</v>
      </c>
      <c r="BB1015" s="9">
        <v>258</v>
      </c>
      <c r="BC1015" s="8" t="s">
        <v>956</v>
      </c>
      <c r="BD1015" s="8">
        <v>2.4</v>
      </c>
      <c r="BE1015" s="8">
        <v>2.5</v>
      </c>
      <c r="BF1015" s="8">
        <v>3.4</v>
      </c>
      <c r="BG1015" s="8">
        <v>5.6</v>
      </c>
      <c r="BH1015" s="8">
        <v>7.8</v>
      </c>
      <c r="BI1015" s="8">
        <v>11.2</v>
      </c>
      <c r="BJ1015" s="8">
        <v>15.7</v>
      </c>
      <c r="BK1015" s="8">
        <v>17.3</v>
      </c>
      <c r="BL1015" s="8">
        <v>13.1</v>
      </c>
      <c r="BM1015" s="8">
        <v>8.1</v>
      </c>
      <c r="BN1015" s="8">
        <v>4.7</v>
      </c>
      <c r="BO1015" s="8">
        <v>3.1</v>
      </c>
      <c r="BP1015" s="7">
        <v>7.9</v>
      </c>
    </row>
    <row r="1016" spans="1:68" ht="14.25" customHeight="1">
      <c r="A1016" s="12">
        <v>359</v>
      </c>
      <c r="B1016" s="14">
        <v>307</v>
      </c>
      <c r="C1016" s="13" t="s">
        <v>30</v>
      </c>
      <c r="D1016" s="13" t="s">
        <v>559</v>
      </c>
      <c r="E1016" s="13" t="s">
        <v>953</v>
      </c>
      <c r="F1016" s="11">
        <v>-4.5</v>
      </c>
      <c r="G1016" s="11">
        <v>-3.3</v>
      </c>
      <c r="H1016" s="11">
        <v>1.8</v>
      </c>
      <c r="I1016" s="11">
        <v>9.6999999999999993</v>
      </c>
      <c r="J1016" s="11">
        <v>15.6</v>
      </c>
      <c r="K1016" s="11">
        <v>19.399999999999999</v>
      </c>
      <c r="L1016" s="11">
        <v>22.1</v>
      </c>
      <c r="M1016" s="11">
        <v>21.5</v>
      </c>
      <c r="N1016" s="11">
        <v>16.399999999999999</v>
      </c>
      <c r="O1016" s="11">
        <v>9.8000000000000007</v>
      </c>
      <c r="P1016" s="11">
        <v>3.9</v>
      </c>
      <c r="Q1016" s="11">
        <v>-1.5</v>
      </c>
      <c r="R1016" s="10">
        <v>9.1999999999999993</v>
      </c>
      <c r="S1016" s="12">
        <v>307</v>
      </c>
      <c r="T1016" s="8" t="s">
        <v>955</v>
      </c>
      <c r="U1016" s="11">
        <v>-23</v>
      </c>
      <c r="V1016" s="11">
        <v>-21</v>
      </c>
      <c r="W1016" s="11">
        <v>-20</v>
      </c>
      <c r="X1016" s="11">
        <v>-18</v>
      </c>
      <c r="Y1016" s="11">
        <v>-6</v>
      </c>
      <c r="Z1016" s="11">
        <v>-36</v>
      </c>
      <c r="AA1016" s="11">
        <v>8</v>
      </c>
      <c r="AB1016" s="11">
        <v>92</v>
      </c>
      <c r="AC1016" s="11">
        <v>-3.2</v>
      </c>
      <c r="AD1016" s="11">
        <v>168</v>
      </c>
      <c r="AE1016" s="11">
        <v>0.1</v>
      </c>
      <c r="AF1016" s="11">
        <v>186</v>
      </c>
      <c r="AG1016" s="11">
        <v>1</v>
      </c>
      <c r="AH1016" s="11">
        <v>84</v>
      </c>
      <c r="AI1016" s="11">
        <v>81</v>
      </c>
      <c r="AJ1016" s="11">
        <v>152</v>
      </c>
      <c r="AK1016" s="11" t="s">
        <v>66</v>
      </c>
      <c r="AL1016" s="11" t="s">
        <v>44</v>
      </c>
      <c r="AM1016" s="10">
        <v>4.0999999999999996</v>
      </c>
      <c r="AN1016" s="9">
        <v>307</v>
      </c>
      <c r="AO1016" s="8" t="s">
        <v>954</v>
      </c>
      <c r="AP1016" s="8">
        <v>910</v>
      </c>
      <c r="AQ1016" s="8">
        <v>26</v>
      </c>
      <c r="AR1016" s="8">
        <v>32</v>
      </c>
      <c r="AS1016" s="8">
        <v>29</v>
      </c>
      <c r="AT1016" s="8">
        <v>40</v>
      </c>
      <c r="AU1016" s="8">
        <v>13.2</v>
      </c>
      <c r="AV1016" s="8">
        <v>63</v>
      </c>
      <c r="AW1016" s="8">
        <v>43</v>
      </c>
      <c r="AX1016" s="8">
        <v>422</v>
      </c>
      <c r="AY1016" s="8">
        <v>107</v>
      </c>
      <c r="AZ1016" s="8" t="s">
        <v>63</v>
      </c>
      <c r="BA1016" s="7" t="s">
        <v>46</v>
      </c>
      <c r="BB1016" s="9">
        <v>276</v>
      </c>
      <c r="BC1016" s="8" t="s">
        <v>953</v>
      </c>
      <c r="BD1016" s="8">
        <v>4.0999999999999996</v>
      </c>
      <c r="BE1016" s="8">
        <v>4.5</v>
      </c>
      <c r="BF1016" s="8">
        <v>5.7</v>
      </c>
      <c r="BG1016" s="8">
        <v>8.3000000000000007</v>
      </c>
      <c r="BH1016" s="8">
        <v>11.8</v>
      </c>
      <c r="BI1016" s="8">
        <v>14.6</v>
      </c>
      <c r="BJ1016" s="8">
        <v>16.100000000000001</v>
      </c>
      <c r="BK1016" s="8">
        <v>15.6</v>
      </c>
      <c r="BL1016" s="8">
        <v>12.5</v>
      </c>
      <c r="BM1016" s="8">
        <v>9.1</v>
      </c>
      <c r="BN1016" s="8">
        <v>7</v>
      </c>
      <c r="BO1016" s="8">
        <v>5.0999999999999996</v>
      </c>
      <c r="BP1016" s="7">
        <v>9.5</v>
      </c>
    </row>
    <row r="1017" spans="1:68" ht="14.25" customHeight="1">
      <c r="A1017" s="12">
        <v>360</v>
      </c>
      <c r="B1017" s="14">
        <v>99</v>
      </c>
      <c r="C1017" s="13" t="s">
        <v>30</v>
      </c>
      <c r="D1017" s="13" t="s">
        <v>300</v>
      </c>
      <c r="E1017" s="13" t="s">
        <v>950</v>
      </c>
      <c r="F1017" s="11">
        <v>-24.9</v>
      </c>
      <c r="G1017" s="11">
        <v>-23.2</v>
      </c>
      <c r="H1017" s="11">
        <v>-13.3</v>
      </c>
      <c r="I1017" s="11">
        <v>-1.8</v>
      </c>
      <c r="J1017" s="11">
        <v>6.5</v>
      </c>
      <c r="K1017" s="11">
        <v>14.6</v>
      </c>
      <c r="L1017" s="11">
        <v>17.600000000000001</v>
      </c>
      <c r="M1017" s="11">
        <v>14.1</v>
      </c>
      <c r="N1017" s="11">
        <v>6.9</v>
      </c>
      <c r="O1017" s="11">
        <v>-1.4</v>
      </c>
      <c r="P1017" s="11">
        <v>-14.4</v>
      </c>
      <c r="Q1017" s="11">
        <v>-23.4</v>
      </c>
      <c r="R1017" s="10">
        <v>-3.6</v>
      </c>
      <c r="S1017" s="12">
        <v>99</v>
      </c>
      <c r="T1017" s="8" t="s">
        <v>952</v>
      </c>
      <c r="U1017" s="11">
        <v>-52</v>
      </c>
      <c r="V1017" s="11">
        <v>-50</v>
      </c>
      <c r="W1017" s="11">
        <v>-50</v>
      </c>
      <c r="X1017" s="11">
        <v>-48</v>
      </c>
      <c r="Y1017" s="11">
        <v>-30</v>
      </c>
      <c r="Z1017" s="11">
        <v>-56</v>
      </c>
      <c r="AA1017" s="11">
        <v>11.3</v>
      </c>
      <c r="AB1017" s="11">
        <v>193</v>
      </c>
      <c r="AC1017" s="11">
        <v>-15.8</v>
      </c>
      <c r="AD1017" s="11">
        <v>253</v>
      </c>
      <c r="AE1017" s="11">
        <v>-11.1</v>
      </c>
      <c r="AF1017" s="11">
        <v>269</v>
      </c>
      <c r="AG1017" s="11">
        <v>-9.9</v>
      </c>
      <c r="AH1017" s="11">
        <v>78</v>
      </c>
      <c r="AI1017" s="11">
        <v>76</v>
      </c>
      <c r="AJ1017" s="11">
        <v>103</v>
      </c>
      <c r="AK1017" s="11" t="s">
        <v>39</v>
      </c>
      <c r="AL1017" s="11" t="s">
        <v>44</v>
      </c>
      <c r="AM1017" s="10">
        <v>2.1</v>
      </c>
      <c r="AN1017" s="9">
        <v>99</v>
      </c>
      <c r="AO1017" s="8" t="s">
        <v>951</v>
      </c>
      <c r="AP1017" s="8">
        <v>980</v>
      </c>
      <c r="AQ1017" s="8">
        <v>22.6</v>
      </c>
      <c r="AR1017" s="8">
        <v>26.8</v>
      </c>
      <c r="AS1017" s="8">
        <v>25</v>
      </c>
      <c r="AT1017" s="8">
        <v>37</v>
      </c>
      <c r="AU1017" s="8">
        <v>14.5</v>
      </c>
      <c r="AV1017" s="8">
        <v>73</v>
      </c>
      <c r="AW1017" s="8">
        <v>51</v>
      </c>
      <c r="AX1017" s="8">
        <v>326</v>
      </c>
      <c r="AY1017" s="8">
        <v>56</v>
      </c>
      <c r="AZ1017" s="8" t="s">
        <v>82</v>
      </c>
      <c r="BA1017" s="7" t="s">
        <v>46</v>
      </c>
      <c r="BB1017" s="9">
        <v>83</v>
      </c>
      <c r="BC1017" s="8" t="s">
        <v>950</v>
      </c>
      <c r="BD1017" s="8">
        <v>1</v>
      </c>
      <c r="BE1017" s="8">
        <v>1</v>
      </c>
      <c r="BF1017" s="8">
        <v>1.8</v>
      </c>
      <c r="BG1017" s="8">
        <v>3.4</v>
      </c>
      <c r="BH1017" s="8">
        <v>5.6</v>
      </c>
      <c r="BI1017" s="8">
        <v>10.3</v>
      </c>
      <c r="BJ1017" s="8">
        <v>14.2</v>
      </c>
      <c r="BK1017" s="8">
        <v>12.5</v>
      </c>
      <c r="BL1017" s="8">
        <v>8</v>
      </c>
      <c r="BM1017" s="8">
        <v>4.3</v>
      </c>
      <c r="BN1017" s="8">
        <v>2.1</v>
      </c>
      <c r="BO1017" s="8">
        <v>1.1000000000000001</v>
      </c>
      <c r="BP1017" s="7">
        <v>5.4</v>
      </c>
    </row>
    <row r="1018" spans="1:68" ht="14.25" customHeight="1">
      <c r="A1018" s="12">
        <v>361</v>
      </c>
      <c r="B1018" s="14">
        <v>100</v>
      </c>
      <c r="C1018" s="13" t="s">
        <v>30</v>
      </c>
      <c r="D1018" s="13" t="s">
        <v>300</v>
      </c>
      <c r="E1018" s="13" t="s">
        <v>947</v>
      </c>
      <c r="F1018" s="11">
        <v>-27.9</v>
      </c>
      <c r="G1018" s="11">
        <v>-25.4</v>
      </c>
      <c r="H1018" s="11">
        <v>-14.6</v>
      </c>
      <c r="I1018" s="11">
        <v>-3.5</v>
      </c>
      <c r="J1018" s="11">
        <v>5.6</v>
      </c>
      <c r="K1018" s="11">
        <v>13.9</v>
      </c>
      <c r="L1018" s="11">
        <v>16.8</v>
      </c>
      <c r="M1018" s="11">
        <v>12.9</v>
      </c>
      <c r="N1018" s="11">
        <v>5.7</v>
      </c>
      <c r="O1018" s="11">
        <v>-4</v>
      </c>
      <c r="P1018" s="11">
        <v>-18.5</v>
      </c>
      <c r="Q1018" s="11">
        <v>-27.2</v>
      </c>
      <c r="R1018" s="10">
        <v>-5.5</v>
      </c>
      <c r="S1018" s="12">
        <v>100</v>
      </c>
      <c r="T1018" s="8" t="s">
        <v>949</v>
      </c>
      <c r="U1018" s="11">
        <v>-55</v>
      </c>
      <c r="V1018" s="11">
        <v>-52</v>
      </c>
      <c r="W1018" s="11">
        <v>-51</v>
      </c>
      <c r="X1018" s="11">
        <v>-50</v>
      </c>
      <c r="Y1018" s="11">
        <v>-33</v>
      </c>
      <c r="Z1018" s="11">
        <v>-58</v>
      </c>
      <c r="AA1018" s="11">
        <v>11.1</v>
      </c>
      <c r="AB1018" s="11">
        <v>206</v>
      </c>
      <c r="AC1018" s="11">
        <v>-17.399999999999999</v>
      </c>
      <c r="AD1018" s="11">
        <v>261</v>
      </c>
      <c r="AE1018" s="11">
        <v>-12.9</v>
      </c>
      <c r="AF1018" s="11">
        <v>277</v>
      </c>
      <c r="AG1018" s="11">
        <v>-11.6</v>
      </c>
      <c r="AH1018" s="11">
        <v>78</v>
      </c>
      <c r="AI1018" s="11">
        <v>77</v>
      </c>
      <c r="AJ1018" s="11">
        <v>100</v>
      </c>
      <c r="AK1018" s="11" t="s">
        <v>27</v>
      </c>
      <c r="AL1018" s="11" t="s">
        <v>44</v>
      </c>
      <c r="AM1018" s="10">
        <v>2</v>
      </c>
      <c r="AN1018" s="9">
        <v>100</v>
      </c>
      <c r="AO1018" s="8" t="s">
        <v>948</v>
      </c>
      <c r="AP1018" s="8">
        <v>970</v>
      </c>
      <c r="AQ1018" s="8">
        <v>21.8</v>
      </c>
      <c r="AR1018" s="8">
        <v>26</v>
      </c>
      <c r="AS1018" s="8">
        <v>24.2</v>
      </c>
      <c r="AT1018" s="8">
        <v>39</v>
      </c>
      <c r="AU1018" s="8">
        <v>14.3</v>
      </c>
      <c r="AV1018" s="8">
        <v>76</v>
      </c>
      <c r="AW1018" s="8">
        <v>56</v>
      </c>
      <c r="AX1018" s="8">
        <v>320</v>
      </c>
      <c r="AY1018" s="8" t="s">
        <v>64</v>
      </c>
      <c r="AZ1018" s="8" t="s">
        <v>54</v>
      </c>
      <c r="BA1018" s="7" t="s">
        <v>46</v>
      </c>
      <c r="BB1018" s="9">
        <v>84</v>
      </c>
      <c r="BC1018" s="8" t="s">
        <v>947</v>
      </c>
      <c r="BD1018" s="8">
        <v>0.8</v>
      </c>
      <c r="BE1018" s="8">
        <v>0.9</v>
      </c>
      <c r="BF1018" s="8">
        <v>1.5</v>
      </c>
      <c r="BG1018" s="8">
        <v>2.9</v>
      </c>
      <c r="BH1018" s="8">
        <v>5</v>
      </c>
      <c r="BI1018" s="8">
        <v>9.8000000000000007</v>
      </c>
      <c r="BJ1018" s="8">
        <v>13.7</v>
      </c>
      <c r="BK1018" s="8">
        <v>11.8</v>
      </c>
      <c r="BL1018" s="8">
        <v>7.2</v>
      </c>
      <c r="BM1018" s="8">
        <v>3.8</v>
      </c>
      <c r="BN1018" s="8">
        <v>1.6</v>
      </c>
      <c r="BO1018" s="8">
        <v>0.8</v>
      </c>
      <c r="BP1018" s="7">
        <v>5</v>
      </c>
    </row>
    <row r="1019" spans="1:68" ht="14.25" customHeight="1">
      <c r="A1019" s="12">
        <v>362</v>
      </c>
      <c r="B1019" s="14">
        <v>423</v>
      </c>
      <c r="C1019" s="13" t="s">
        <v>30</v>
      </c>
      <c r="D1019" s="13" t="s">
        <v>57</v>
      </c>
      <c r="E1019" s="13" t="s">
        <v>945</v>
      </c>
      <c r="F1019" s="11">
        <v>-46.3</v>
      </c>
      <c r="G1019" s="11">
        <v>-41.6</v>
      </c>
      <c r="H1019" s="11">
        <v>-29.1</v>
      </c>
      <c r="I1019" s="11">
        <v>-11.3</v>
      </c>
      <c r="J1019" s="11">
        <v>3.8</v>
      </c>
      <c r="K1019" s="11">
        <v>13.2</v>
      </c>
      <c r="L1019" s="11">
        <v>15.7</v>
      </c>
      <c r="M1019" s="11">
        <v>12.1</v>
      </c>
      <c r="N1019" s="11">
        <v>3.4</v>
      </c>
      <c r="O1019" s="11">
        <v>-14.7</v>
      </c>
      <c r="P1019" s="11">
        <v>-35.9</v>
      </c>
      <c r="Q1019" s="11">
        <v>-44.4</v>
      </c>
      <c r="R1019" s="10">
        <v>-14.6</v>
      </c>
      <c r="S1019" s="12">
        <v>423</v>
      </c>
      <c r="T1019" s="8" t="s">
        <v>945</v>
      </c>
      <c r="U1019" s="11">
        <v>-62</v>
      </c>
      <c r="V1019" s="11">
        <v>-60</v>
      </c>
      <c r="W1019" s="11">
        <v>-60</v>
      </c>
      <c r="X1019" s="11">
        <v>-58</v>
      </c>
      <c r="Y1019" s="11">
        <v>-51</v>
      </c>
      <c r="Z1019" s="11">
        <v>-62</v>
      </c>
      <c r="AA1019" s="11">
        <v>5.2</v>
      </c>
      <c r="AB1019" s="11">
        <v>229</v>
      </c>
      <c r="AC1019" s="11">
        <v>-29.1</v>
      </c>
      <c r="AD1019" s="11">
        <v>272</v>
      </c>
      <c r="AE1019" s="11">
        <v>-23.8</v>
      </c>
      <c r="AF1019" s="11">
        <v>286</v>
      </c>
      <c r="AG1019" s="11">
        <v>-22.2</v>
      </c>
      <c r="AH1019" s="11">
        <v>71</v>
      </c>
      <c r="AI1019" s="11">
        <v>70</v>
      </c>
      <c r="AJ1019" s="11">
        <v>2</v>
      </c>
      <c r="AK1019" s="11" t="s">
        <v>39</v>
      </c>
      <c r="AL1019" s="11" t="s">
        <v>44</v>
      </c>
      <c r="AM1019" s="10">
        <v>1.8</v>
      </c>
      <c r="AN1019" s="9">
        <v>423</v>
      </c>
      <c r="AO1019" s="8" t="s">
        <v>946</v>
      </c>
      <c r="AP1019" s="8">
        <v>945</v>
      </c>
      <c r="AQ1019" s="8">
        <v>20.100000000000001</v>
      </c>
      <c r="AR1019" s="8">
        <v>24.4</v>
      </c>
      <c r="AS1019" s="8">
        <v>22.5</v>
      </c>
      <c r="AT1019" s="8">
        <v>34</v>
      </c>
      <c r="AU1019" s="8">
        <v>13.3</v>
      </c>
      <c r="AV1019" s="8">
        <v>60</v>
      </c>
      <c r="AW1019" s="8">
        <v>46</v>
      </c>
      <c r="AX1019" s="8">
        <v>208</v>
      </c>
      <c r="AY1019" s="8">
        <v>36</v>
      </c>
      <c r="AZ1019" s="8" t="s">
        <v>82</v>
      </c>
      <c r="BA1019" s="7" t="s">
        <v>46</v>
      </c>
      <c r="BB1019" s="9">
        <v>386</v>
      </c>
      <c r="BC1019" s="8" t="s">
        <v>945</v>
      </c>
      <c r="BD1019" s="8">
        <v>0.1</v>
      </c>
      <c r="BE1019" s="8">
        <v>0.2</v>
      </c>
      <c r="BF1019" s="8">
        <v>0.5</v>
      </c>
      <c r="BG1019" s="8">
        <v>1.7</v>
      </c>
      <c r="BH1019" s="8">
        <v>4.3</v>
      </c>
      <c r="BI1019" s="8">
        <v>8.1</v>
      </c>
      <c r="BJ1019" s="8">
        <v>10.3</v>
      </c>
      <c r="BK1019" s="8">
        <v>9.1</v>
      </c>
      <c r="BL1019" s="8">
        <v>5.4</v>
      </c>
      <c r="BM1019" s="8">
        <v>1.9</v>
      </c>
      <c r="BN1019" s="8">
        <v>0.3</v>
      </c>
      <c r="BO1019" s="8">
        <v>0.1</v>
      </c>
      <c r="BP1019" s="7">
        <v>3.5</v>
      </c>
    </row>
    <row r="1020" spans="1:68" ht="14.25" customHeight="1">
      <c r="A1020" s="12">
        <v>363</v>
      </c>
      <c r="B1020" s="14">
        <v>384</v>
      </c>
      <c r="C1020" s="13" t="s">
        <v>30</v>
      </c>
      <c r="D1020" s="13" t="s">
        <v>162</v>
      </c>
      <c r="E1020" s="13" t="s">
        <v>942</v>
      </c>
      <c r="F1020" s="11">
        <v>-30.8</v>
      </c>
      <c r="G1020" s="11">
        <v>-26.3</v>
      </c>
      <c r="H1020" s="11">
        <v>-13.6</v>
      </c>
      <c r="I1020" s="11">
        <v>0.8</v>
      </c>
      <c r="J1020" s="11">
        <v>9.8000000000000007</v>
      </c>
      <c r="K1020" s="11">
        <v>17</v>
      </c>
      <c r="L1020" s="11">
        <v>19.7</v>
      </c>
      <c r="M1020" s="11">
        <v>16.600000000000001</v>
      </c>
      <c r="N1020" s="11">
        <v>9</v>
      </c>
      <c r="O1020" s="11">
        <v>-1</v>
      </c>
      <c r="P1020" s="11">
        <v>-16.7</v>
      </c>
      <c r="Q1020" s="11">
        <v>-28.2</v>
      </c>
      <c r="R1020" s="10">
        <v>-3.6</v>
      </c>
      <c r="S1020" s="12">
        <v>384</v>
      </c>
      <c r="T1020" s="8" t="s">
        <v>944</v>
      </c>
      <c r="U1020" s="11">
        <v>-48</v>
      </c>
      <c r="V1020" s="11">
        <v>-46</v>
      </c>
      <c r="W1020" s="11">
        <v>-47</v>
      </c>
      <c r="X1020" s="11">
        <v>-44</v>
      </c>
      <c r="Y1020" s="11">
        <v>-36</v>
      </c>
      <c r="Z1020" s="11">
        <v>-54</v>
      </c>
      <c r="AA1020" s="11">
        <v>13.3</v>
      </c>
      <c r="AB1020" s="11">
        <v>183</v>
      </c>
      <c r="AC1020" s="11">
        <v>-19.100000000000001</v>
      </c>
      <c r="AD1020" s="11">
        <v>233</v>
      </c>
      <c r="AE1020" s="11">
        <v>-14.1</v>
      </c>
      <c r="AF1020" s="11">
        <v>247</v>
      </c>
      <c r="AG1020" s="11">
        <v>-12.8</v>
      </c>
      <c r="AH1020" s="11">
        <v>77</v>
      </c>
      <c r="AI1020" s="11">
        <v>73</v>
      </c>
      <c r="AJ1020" s="11">
        <v>23</v>
      </c>
      <c r="AK1020" s="11" t="s">
        <v>48</v>
      </c>
      <c r="AL1020" s="11">
        <v>4.4000000000000004</v>
      </c>
      <c r="AM1020" s="10">
        <v>2.1</v>
      </c>
      <c r="AN1020" s="9">
        <v>384</v>
      </c>
      <c r="AO1020" s="8" t="s">
        <v>943</v>
      </c>
      <c r="AP1020" s="8">
        <v>950</v>
      </c>
      <c r="AQ1020" s="8">
        <v>24.3</v>
      </c>
      <c r="AR1020" s="8">
        <v>28.4</v>
      </c>
      <c r="AS1020" s="8">
        <v>26.7</v>
      </c>
      <c r="AT1020" s="8">
        <v>40</v>
      </c>
      <c r="AU1020" s="8">
        <v>13.5</v>
      </c>
      <c r="AV1020" s="8">
        <v>69</v>
      </c>
      <c r="AW1020" s="8">
        <v>52</v>
      </c>
      <c r="AX1020" s="8">
        <v>289</v>
      </c>
      <c r="AY1020" s="8">
        <v>64</v>
      </c>
      <c r="AZ1020" s="8" t="s">
        <v>37</v>
      </c>
      <c r="BA1020" s="7">
        <v>0</v>
      </c>
      <c r="BB1020" s="9">
        <v>348</v>
      </c>
      <c r="BC1020" s="8" t="s">
        <v>942</v>
      </c>
      <c r="BD1020" s="8">
        <v>0.5</v>
      </c>
      <c r="BE1020" s="8">
        <v>0.7</v>
      </c>
      <c r="BF1020" s="8">
        <v>1.8</v>
      </c>
      <c r="BG1020" s="8">
        <v>3.5</v>
      </c>
      <c r="BH1020" s="8">
        <v>5.6</v>
      </c>
      <c r="BI1020" s="8">
        <v>10.9</v>
      </c>
      <c r="BJ1020" s="8">
        <v>15.4</v>
      </c>
      <c r="BK1020" s="8">
        <v>13.6</v>
      </c>
      <c r="BL1020" s="8">
        <v>7.9</v>
      </c>
      <c r="BM1020" s="8">
        <v>3.8</v>
      </c>
      <c r="BN1020" s="8">
        <v>1.5</v>
      </c>
      <c r="BO1020" s="8">
        <v>0.6</v>
      </c>
      <c r="BP1020" s="7">
        <v>5.5</v>
      </c>
    </row>
    <row r="1021" spans="1:68" ht="14.25" customHeight="1">
      <c r="A1021" s="12">
        <v>364</v>
      </c>
      <c r="B1021" s="14">
        <v>385</v>
      </c>
      <c r="C1021" s="13" t="s">
        <v>30</v>
      </c>
      <c r="D1021" s="13" t="s">
        <v>162</v>
      </c>
      <c r="E1021" s="13" t="s">
        <v>939</v>
      </c>
      <c r="F1021" s="11">
        <v>-28.6</v>
      </c>
      <c r="G1021" s="11">
        <v>-23.5</v>
      </c>
      <c r="H1021" s="11">
        <v>-12.9</v>
      </c>
      <c r="I1021" s="11">
        <v>0</v>
      </c>
      <c r="J1021" s="11">
        <v>8.9</v>
      </c>
      <c r="K1021" s="11">
        <v>15.5</v>
      </c>
      <c r="L1021" s="11">
        <v>18.8</v>
      </c>
      <c r="M1021" s="11">
        <v>15.9</v>
      </c>
      <c r="N1021" s="11">
        <v>8.9</v>
      </c>
      <c r="O1021" s="11">
        <v>-0.9</v>
      </c>
      <c r="P1021" s="11">
        <v>-15.2</v>
      </c>
      <c r="Q1021" s="11">
        <v>-25.8</v>
      </c>
      <c r="R1021" s="10">
        <v>-3.2</v>
      </c>
      <c r="S1021" s="12">
        <v>385</v>
      </c>
      <c r="T1021" s="8" t="s">
        <v>941</v>
      </c>
      <c r="U1021" s="11">
        <v>-45</v>
      </c>
      <c r="V1021" s="11">
        <v>-43</v>
      </c>
      <c r="W1021" s="11">
        <v>-43</v>
      </c>
      <c r="X1021" s="11">
        <v>-41</v>
      </c>
      <c r="Y1021" s="11">
        <v>-34</v>
      </c>
      <c r="Z1021" s="11">
        <v>-53</v>
      </c>
      <c r="AA1021" s="11">
        <v>10</v>
      </c>
      <c r="AB1021" s="11">
        <v>184</v>
      </c>
      <c r="AC1021" s="11">
        <v>-17.399999999999999</v>
      </c>
      <c r="AD1021" s="11">
        <v>237</v>
      </c>
      <c r="AE1021" s="11">
        <v>-12.7</v>
      </c>
      <c r="AF1021" s="11">
        <v>252</v>
      </c>
      <c r="AG1021" s="11">
        <v>-11.3</v>
      </c>
      <c r="AH1021" s="11">
        <v>78</v>
      </c>
      <c r="AI1021" s="11">
        <v>76</v>
      </c>
      <c r="AJ1021" s="11">
        <v>32</v>
      </c>
      <c r="AK1021" s="11" t="s">
        <v>75</v>
      </c>
      <c r="AL1021" s="11">
        <v>2.7</v>
      </c>
      <c r="AM1021" s="10">
        <v>1.2</v>
      </c>
      <c r="AN1021" s="9">
        <v>385</v>
      </c>
      <c r="AO1021" s="8" t="s">
        <v>940</v>
      </c>
      <c r="AP1021" s="8">
        <v>935</v>
      </c>
      <c r="AQ1021" s="8">
        <v>22.8</v>
      </c>
      <c r="AR1021" s="8">
        <v>26.9</v>
      </c>
      <c r="AS1021" s="8">
        <v>25.2</v>
      </c>
      <c r="AT1021" s="8">
        <v>40</v>
      </c>
      <c r="AU1021" s="8">
        <v>13.1</v>
      </c>
      <c r="AV1021" s="8">
        <v>75</v>
      </c>
      <c r="AW1021" s="8">
        <v>59</v>
      </c>
      <c r="AX1021" s="8">
        <v>375</v>
      </c>
      <c r="AY1021" s="8">
        <v>78</v>
      </c>
      <c r="AZ1021" s="8" t="s">
        <v>54</v>
      </c>
      <c r="BA1021" s="7">
        <v>0</v>
      </c>
      <c r="BB1021" s="9">
        <v>349</v>
      </c>
      <c r="BC1021" s="8" t="s">
        <v>939</v>
      </c>
      <c r="BD1021" s="8">
        <v>0.6</v>
      </c>
      <c r="BE1021" s="8">
        <v>0.8</v>
      </c>
      <c r="BF1021" s="8">
        <v>1.7</v>
      </c>
      <c r="BG1021" s="8">
        <v>3.3</v>
      </c>
      <c r="BH1021" s="8">
        <v>5.5</v>
      </c>
      <c r="BI1021" s="8">
        <v>11.3</v>
      </c>
      <c r="BJ1021" s="8">
        <v>15.6</v>
      </c>
      <c r="BK1021" s="8">
        <v>13.6</v>
      </c>
      <c r="BL1021" s="8">
        <v>7.8</v>
      </c>
      <c r="BM1021" s="8">
        <v>3.7</v>
      </c>
      <c r="BN1021" s="8">
        <v>1.6</v>
      </c>
      <c r="BO1021" s="8">
        <v>0.7</v>
      </c>
      <c r="BP1021" s="7">
        <v>5.5</v>
      </c>
    </row>
    <row r="1022" spans="1:68" ht="14.25" customHeight="1">
      <c r="A1022" s="12">
        <v>365</v>
      </c>
      <c r="B1022" s="14">
        <v>220</v>
      </c>
      <c r="C1022" s="13" t="s">
        <v>30</v>
      </c>
      <c r="D1022" s="13" t="s">
        <v>61</v>
      </c>
      <c r="E1022" s="13" t="s">
        <v>936</v>
      </c>
      <c r="F1022" s="11">
        <v>-13.1</v>
      </c>
      <c r="G1022" s="11">
        <v>-13</v>
      </c>
      <c r="H1022" s="11">
        <v>-8.1</v>
      </c>
      <c r="I1022" s="11">
        <v>-1.7</v>
      </c>
      <c r="J1022" s="11">
        <v>4.2</v>
      </c>
      <c r="K1022" s="11">
        <v>10.5</v>
      </c>
      <c r="L1022" s="11">
        <v>13.5</v>
      </c>
      <c r="M1022" s="11">
        <v>11.6</v>
      </c>
      <c r="N1022" s="11">
        <v>6.3</v>
      </c>
      <c r="O1022" s="11">
        <v>-0.1</v>
      </c>
      <c r="P1022" s="11">
        <v>-6.1</v>
      </c>
      <c r="Q1022" s="11">
        <v>-10.199999999999999</v>
      </c>
      <c r="R1022" s="10">
        <v>-0.5</v>
      </c>
      <c r="S1022" s="12">
        <v>220</v>
      </c>
      <c r="T1022" s="8" t="s">
        <v>938</v>
      </c>
      <c r="U1022" s="11">
        <v>-46</v>
      </c>
      <c r="V1022" s="11">
        <v>-40</v>
      </c>
      <c r="W1022" s="11">
        <v>-38</v>
      </c>
      <c r="X1022" s="11">
        <v>-36</v>
      </c>
      <c r="Y1022" s="11">
        <v>-18</v>
      </c>
      <c r="Z1022" s="11">
        <v>-45</v>
      </c>
      <c r="AA1022" s="11">
        <v>9</v>
      </c>
      <c r="AB1022" s="11">
        <v>191</v>
      </c>
      <c r="AC1022" s="11">
        <v>-8.1999999999999993</v>
      </c>
      <c r="AD1022" s="11">
        <v>271</v>
      </c>
      <c r="AE1022" s="11">
        <v>-4.5999999999999996</v>
      </c>
      <c r="AF1022" s="11">
        <v>292</v>
      </c>
      <c r="AG1022" s="11">
        <v>-3.6</v>
      </c>
      <c r="AH1022" s="11">
        <v>83</v>
      </c>
      <c r="AI1022" s="11">
        <v>83</v>
      </c>
      <c r="AJ1022" s="11">
        <v>169</v>
      </c>
      <c r="AK1022" s="11" t="s">
        <v>39</v>
      </c>
      <c r="AL1022" s="11" t="s">
        <v>44</v>
      </c>
      <c r="AM1022" s="10">
        <v>2.5</v>
      </c>
      <c r="AN1022" s="9">
        <v>220</v>
      </c>
      <c r="AO1022" s="8" t="s">
        <v>937</v>
      </c>
      <c r="AP1022" s="8">
        <v>1000</v>
      </c>
      <c r="AQ1022" s="8">
        <v>16.3</v>
      </c>
      <c r="AR1022" s="8">
        <v>20.8</v>
      </c>
      <c r="AS1022" s="8">
        <v>18.7</v>
      </c>
      <c r="AT1022" s="8">
        <v>32</v>
      </c>
      <c r="AU1022" s="8">
        <v>10.1</v>
      </c>
      <c r="AV1022" s="8">
        <v>72</v>
      </c>
      <c r="AW1022" s="8">
        <v>59</v>
      </c>
      <c r="AX1022" s="8">
        <v>377</v>
      </c>
      <c r="AY1022" s="8">
        <v>60</v>
      </c>
      <c r="AZ1022" s="8" t="s">
        <v>37</v>
      </c>
      <c r="BA1022" s="7" t="s">
        <v>46</v>
      </c>
      <c r="BB1022" s="9">
        <v>195</v>
      </c>
      <c r="BC1022" s="8" t="s">
        <v>936</v>
      </c>
      <c r="BD1022" s="8">
        <v>2.2999999999999998</v>
      </c>
      <c r="BE1022" s="8">
        <v>2.2000000000000002</v>
      </c>
      <c r="BF1022" s="8">
        <v>2.9</v>
      </c>
      <c r="BG1022" s="8">
        <v>4</v>
      </c>
      <c r="BH1022" s="8">
        <v>5.6</v>
      </c>
      <c r="BI1022" s="8">
        <v>8.5</v>
      </c>
      <c r="BJ1022" s="8">
        <v>11.1</v>
      </c>
      <c r="BK1022" s="8">
        <v>10.9</v>
      </c>
      <c r="BL1022" s="8">
        <v>8.1999999999999993</v>
      </c>
      <c r="BM1022" s="8">
        <v>5.5</v>
      </c>
      <c r="BN1022" s="8">
        <v>3.8</v>
      </c>
      <c r="BO1022" s="8">
        <v>2.9</v>
      </c>
      <c r="BP1022" s="7">
        <v>5.8</v>
      </c>
    </row>
    <row r="1023" spans="1:68" ht="14.25" customHeight="1">
      <c r="A1023" s="12">
        <v>366</v>
      </c>
      <c r="B1023" s="14">
        <v>59</v>
      </c>
      <c r="C1023" s="13" t="s">
        <v>30</v>
      </c>
      <c r="D1023" s="13" t="s">
        <v>237</v>
      </c>
      <c r="E1023" s="13" t="s">
        <v>933</v>
      </c>
      <c r="F1023" s="11">
        <v>-22.6</v>
      </c>
      <c r="G1023" s="11">
        <v>-21.3</v>
      </c>
      <c r="H1023" s="11">
        <v>-13.4</v>
      </c>
      <c r="I1023" s="11">
        <v>-3.2</v>
      </c>
      <c r="J1023" s="11">
        <v>4.3</v>
      </c>
      <c r="K1023" s="11">
        <v>11.2</v>
      </c>
      <c r="L1023" s="11">
        <v>15.5</v>
      </c>
      <c r="M1023" s="11">
        <v>14.6</v>
      </c>
      <c r="N1023" s="11">
        <v>8.3000000000000007</v>
      </c>
      <c r="O1023" s="11">
        <v>-0.6</v>
      </c>
      <c r="P1023" s="11">
        <v>-11.8</v>
      </c>
      <c r="Q1023" s="11">
        <v>-18.399999999999999</v>
      </c>
      <c r="R1023" s="10">
        <v>-3.1</v>
      </c>
      <c r="S1023" s="12">
        <v>59</v>
      </c>
      <c r="T1023" s="8" t="s">
        <v>935</v>
      </c>
      <c r="U1023" s="11">
        <v>-38</v>
      </c>
      <c r="V1023" s="11">
        <v>-36</v>
      </c>
      <c r="W1023" s="11">
        <v>-35</v>
      </c>
      <c r="X1023" s="11">
        <v>-33</v>
      </c>
      <c r="Y1023" s="11">
        <v>-28</v>
      </c>
      <c r="Z1023" s="11">
        <v>-47</v>
      </c>
      <c r="AA1023" s="11">
        <v>7.8</v>
      </c>
      <c r="AB1023" s="11">
        <v>197</v>
      </c>
      <c r="AC1023" s="11">
        <v>-13.8</v>
      </c>
      <c r="AD1023" s="11">
        <v>258</v>
      </c>
      <c r="AE1023" s="11">
        <v>-9.6</v>
      </c>
      <c r="AF1023" s="11">
        <v>276</v>
      </c>
      <c r="AG1023" s="11">
        <v>-8.4</v>
      </c>
      <c r="AH1023" s="11">
        <v>74</v>
      </c>
      <c r="AI1023" s="11">
        <v>71</v>
      </c>
      <c r="AJ1023" s="11">
        <v>80</v>
      </c>
      <c r="AK1023" s="11" t="s">
        <v>199</v>
      </c>
      <c r="AL1023" s="11" t="s">
        <v>44</v>
      </c>
      <c r="AM1023" s="10">
        <v>2</v>
      </c>
      <c r="AN1023" s="9">
        <v>59</v>
      </c>
      <c r="AO1023" s="8" t="s">
        <v>934</v>
      </c>
      <c r="AP1023" s="8">
        <v>950</v>
      </c>
      <c r="AQ1023" s="8">
        <v>18.600000000000001</v>
      </c>
      <c r="AR1023" s="8">
        <v>23</v>
      </c>
      <c r="AS1023" s="8">
        <v>21</v>
      </c>
      <c r="AT1023" s="8">
        <v>35</v>
      </c>
      <c r="AU1023" s="8">
        <v>10.3</v>
      </c>
      <c r="AV1023" s="8">
        <v>77</v>
      </c>
      <c r="AW1023" s="8">
        <v>66</v>
      </c>
      <c r="AX1023" s="8">
        <v>298</v>
      </c>
      <c r="AY1023" s="8">
        <v>58</v>
      </c>
      <c r="AZ1023" s="8" t="s">
        <v>151</v>
      </c>
      <c r="BA1023" s="7">
        <v>0</v>
      </c>
      <c r="BB1023" s="9">
        <v>45</v>
      </c>
      <c r="BC1023" s="8" t="s">
        <v>933</v>
      </c>
      <c r="BD1023" s="8">
        <v>0.8</v>
      </c>
      <c r="BE1023" s="8">
        <v>0.9</v>
      </c>
      <c r="BF1023" s="8">
        <v>1.6</v>
      </c>
      <c r="BG1023" s="8">
        <v>3.1</v>
      </c>
      <c r="BH1023" s="8">
        <v>5.0999999999999996</v>
      </c>
      <c r="BI1023" s="8">
        <v>9.1</v>
      </c>
      <c r="BJ1023" s="8">
        <v>13.1</v>
      </c>
      <c r="BK1023" s="8">
        <v>12.5</v>
      </c>
      <c r="BL1023" s="8">
        <v>7.5</v>
      </c>
      <c r="BM1023" s="8">
        <v>3.8</v>
      </c>
      <c r="BN1023" s="8">
        <v>1.8</v>
      </c>
      <c r="BO1023" s="8">
        <v>1.1000000000000001</v>
      </c>
      <c r="BP1023" s="7">
        <v>5</v>
      </c>
    </row>
    <row r="1024" spans="1:68" ht="14.25" customHeight="1">
      <c r="A1024" s="12">
        <v>367</v>
      </c>
      <c r="B1024" s="14">
        <v>357</v>
      </c>
      <c r="C1024" s="13" t="s">
        <v>30</v>
      </c>
      <c r="D1024" s="13" t="s">
        <v>86</v>
      </c>
      <c r="E1024" s="13" t="s">
        <v>930</v>
      </c>
      <c r="F1024" s="11">
        <v>-26.4</v>
      </c>
      <c r="G1024" s="11">
        <v>-21.1</v>
      </c>
      <c r="H1024" s="11">
        <v>-11</v>
      </c>
      <c r="I1024" s="11">
        <v>0.3</v>
      </c>
      <c r="J1024" s="11">
        <v>8.1999999999999993</v>
      </c>
      <c r="K1024" s="11">
        <v>15.1</v>
      </c>
      <c r="L1024" s="11">
        <v>19.3</v>
      </c>
      <c r="M1024" s="11">
        <v>18.2</v>
      </c>
      <c r="N1024" s="11">
        <v>12.1</v>
      </c>
      <c r="O1024" s="11">
        <v>2.6</v>
      </c>
      <c r="P1024" s="11">
        <v>-10.8</v>
      </c>
      <c r="Q1024" s="11">
        <v>-21.8</v>
      </c>
      <c r="R1024" s="10">
        <v>-1.3</v>
      </c>
      <c r="S1024" s="12">
        <v>357</v>
      </c>
      <c r="T1024" s="8" t="s">
        <v>932</v>
      </c>
      <c r="U1024" s="11">
        <v>-40</v>
      </c>
      <c r="V1024" s="11">
        <v>-38</v>
      </c>
      <c r="W1024" s="11">
        <v>-38</v>
      </c>
      <c r="X1024" s="11">
        <v>-36</v>
      </c>
      <c r="Y1024" s="11">
        <v>-31</v>
      </c>
      <c r="Z1024" s="11">
        <v>-53</v>
      </c>
      <c r="AA1024" s="11">
        <v>13.7</v>
      </c>
      <c r="AB1024" s="11">
        <v>175</v>
      </c>
      <c r="AC1024" s="11">
        <v>-15.5</v>
      </c>
      <c r="AD1024" s="11">
        <v>229</v>
      </c>
      <c r="AE1024" s="11">
        <v>-10.9</v>
      </c>
      <c r="AF1024" s="11">
        <v>244</v>
      </c>
      <c r="AG1024" s="11">
        <v>-9.6</v>
      </c>
      <c r="AH1024" s="11">
        <v>78</v>
      </c>
      <c r="AI1024" s="11">
        <v>72</v>
      </c>
      <c r="AJ1024" s="11">
        <v>119</v>
      </c>
      <c r="AK1024" s="11" t="s">
        <v>39</v>
      </c>
      <c r="AL1024" s="11" t="s">
        <v>44</v>
      </c>
      <c r="AM1024" s="10" t="s">
        <v>44</v>
      </c>
      <c r="AN1024" s="9">
        <v>357</v>
      </c>
      <c r="AO1024" s="8" t="s">
        <v>931</v>
      </c>
      <c r="AP1024" s="8">
        <v>1005</v>
      </c>
      <c r="AQ1024" s="8">
        <v>22.8</v>
      </c>
      <c r="AR1024" s="8">
        <v>26.9</v>
      </c>
      <c r="AS1024" s="8">
        <v>25.2</v>
      </c>
      <c r="AT1024" s="8">
        <v>36</v>
      </c>
      <c r="AU1024" s="8">
        <v>11.3</v>
      </c>
      <c r="AV1024" s="8">
        <v>78</v>
      </c>
      <c r="AW1024" s="8">
        <v>64</v>
      </c>
      <c r="AX1024" s="8">
        <v>586</v>
      </c>
      <c r="AY1024" s="8" t="s">
        <v>64</v>
      </c>
      <c r="AZ1024" s="8" t="s">
        <v>37</v>
      </c>
      <c r="BA1024" s="7" t="s">
        <v>46</v>
      </c>
      <c r="BB1024" s="9">
        <v>322</v>
      </c>
      <c r="BC1024" s="8" t="s">
        <v>930</v>
      </c>
      <c r="BD1024" s="8">
        <v>0.7</v>
      </c>
      <c r="BE1024" s="8">
        <v>1</v>
      </c>
      <c r="BF1024" s="8">
        <v>2</v>
      </c>
      <c r="BG1024" s="8">
        <v>4.4000000000000004</v>
      </c>
      <c r="BH1024" s="8">
        <v>7.3</v>
      </c>
      <c r="BI1024" s="8">
        <v>12.6</v>
      </c>
      <c r="BJ1024" s="8">
        <v>17.600000000000001</v>
      </c>
      <c r="BK1024" s="8">
        <v>17.399999999999999</v>
      </c>
      <c r="BL1024" s="8">
        <v>11.7</v>
      </c>
      <c r="BM1024" s="8">
        <v>5.7</v>
      </c>
      <c r="BN1024" s="8">
        <v>2.4</v>
      </c>
      <c r="BO1024" s="8">
        <v>1.1000000000000001</v>
      </c>
      <c r="BP1024" s="7">
        <v>7</v>
      </c>
    </row>
    <row r="1025" spans="1:68" ht="14.25" customHeight="1">
      <c r="A1025" s="12">
        <v>368</v>
      </c>
      <c r="B1025" s="14">
        <v>229</v>
      </c>
      <c r="C1025" s="13" t="s">
        <v>30</v>
      </c>
      <c r="D1025" s="13" t="s">
        <v>929</v>
      </c>
      <c r="E1025" s="13" t="s">
        <v>926</v>
      </c>
      <c r="F1025" s="11">
        <v>-11.8</v>
      </c>
      <c r="G1025" s="11">
        <v>-11.1</v>
      </c>
      <c r="H1025" s="11">
        <v>-5</v>
      </c>
      <c r="I1025" s="11">
        <v>4.2</v>
      </c>
      <c r="J1025" s="11">
        <v>12</v>
      </c>
      <c r="K1025" s="11">
        <v>16.399999999999999</v>
      </c>
      <c r="L1025" s="11">
        <v>18.399999999999999</v>
      </c>
      <c r="M1025" s="11">
        <v>16.899999999999999</v>
      </c>
      <c r="N1025" s="11">
        <v>11</v>
      </c>
      <c r="O1025" s="11">
        <v>3.6</v>
      </c>
      <c r="P1025" s="11">
        <v>-2.8</v>
      </c>
      <c r="Q1025" s="11">
        <v>-8.9</v>
      </c>
      <c r="R1025" s="10">
        <v>3.6</v>
      </c>
      <c r="S1025" s="12">
        <v>229</v>
      </c>
      <c r="T1025" s="8" t="s">
        <v>928</v>
      </c>
      <c r="U1025" s="11">
        <v>-38</v>
      </c>
      <c r="V1025" s="11">
        <v>-34</v>
      </c>
      <c r="W1025" s="11">
        <v>-34</v>
      </c>
      <c r="X1025" s="11">
        <v>-31</v>
      </c>
      <c r="Y1025" s="11">
        <v>-17</v>
      </c>
      <c r="Z1025" s="11">
        <v>-41</v>
      </c>
      <c r="AA1025" s="11">
        <v>6.1</v>
      </c>
      <c r="AB1025" s="11">
        <v>151</v>
      </c>
      <c r="AC1025" s="11">
        <v>-7.5</v>
      </c>
      <c r="AD1025" s="11">
        <v>215</v>
      </c>
      <c r="AE1025" s="11">
        <v>-4.0999999999999996</v>
      </c>
      <c r="AF1025" s="11">
        <v>231</v>
      </c>
      <c r="AG1025" s="11">
        <v>-3.2</v>
      </c>
      <c r="AH1025" s="11">
        <v>84</v>
      </c>
      <c r="AI1025" s="11">
        <v>80</v>
      </c>
      <c r="AJ1025" s="11">
        <v>172</v>
      </c>
      <c r="AK1025" s="11" t="s">
        <v>39</v>
      </c>
      <c r="AL1025" s="11">
        <v>5.0999999999999996</v>
      </c>
      <c r="AM1025" s="10">
        <v>3.7</v>
      </c>
      <c r="AN1025" s="9">
        <v>229</v>
      </c>
      <c r="AO1025" s="8" t="s">
        <v>927</v>
      </c>
      <c r="AP1025" s="8">
        <v>995</v>
      </c>
      <c r="AQ1025" s="8">
        <v>22.4</v>
      </c>
      <c r="AR1025" s="8">
        <v>26.2</v>
      </c>
      <c r="AS1025" s="8">
        <v>23.5</v>
      </c>
      <c r="AT1025" s="8">
        <v>36</v>
      </c>
      <c r="AU1025" s="8">
        <v>9.3000000000000007</v>
      </c>
      <c r="AV1025" s="8">
        <v>70</v>
      </c>
      <c r="AW1025" s="8">
        <v>56</v>
      </c>
      <c r="AX1025" s="8">
        <v>410</v>
      </c>
      <c r="AY1025" s="8">
        <v>72</v>
      </c>
      <c r="AZ1025" s="8" t="s">
        <v>43</v>
      </c>
      <c r="BA1025" s="7">
        <v>0</v>
      </c>
      <c r="BB1025" s="9">
        <v>202</v>
      </c>
      <c r="BC1025" s="8" t="s">
        <v>926</v>
      </c>
      <c r="BD1025" s="8">
        <v>2.5</v>
      </c>
      <c r="BE1025" s="8">
        <v>2.5</v>
      </c>
      <c r="BF1025" s="8">
        <v>3.6</v>
      </c>
      <c r="BG1025" s="8">
        <v>6</v>
      </c>
      <c r="BH1025" s="8">
        <v>8.6999999999999993</v>
      </c>
      <c r="BI1025" s="8">
        <v>12</v>
      </c>
      <c r="BJ1025" s="8">
        <v>14.8</v>
      </c>
      <c r="BK1025" s="8">
        <v>13.7</v>
      </c>
      <c r="BL1025" s="8">
        <v>10.1</v>
      </c>
      <c r="BM1025" s="8">
        <v>6.6</v>
      </c>
      <c r="BN1025" s="8">
        <v>4.5</v>
      </c>
      <c r="BO1025" s="8">
        <v>3.2</v>
      </c>
      <c r="BP1025" s="7">
        <v>7.3</v>
      </c>
    </row>
    <row r="1026" spans="1:68" ht="14.25" customHeight="1">
      <c r="A1026" s="12">
        <v>369</v>
      </c>
      <c r="B1026" s="14">
        <v>626</v>
      </c>
      <c r="C1026" s="13" t="s">
        <v>52</v>
      </c>
      <c r="D1026" s="13" t="s">
        <v>925</v>
      </c>
      <c r="E1026" s="13" t="s">
        <v>923</v>
      </c>
      <c r="F1026" s="11">
        <v>-3.1</v>
      </c>
      <c r="G1026" s="11">
        <v>-1.8</v>
      </c>
      <c r="H1026" s="11">
        <v>2.6</v>
      </c>
      <c r="I1026" s="11">
        <v>10.199999999999999</v>
      </c>
      <c r="J1026" s="11">
        <v>16.5</v>
      </c>
      <c r="K1026" s="11">
        <v>20.399999999999999</v>
      </c>
      <c r="L1026" s="11">
        <v>22.3</v>
      </c>
      <c r="M1026" s="11">
        <v>21.8</v>
      </c>
      <c r="N1026" s="11">
        <v>16.899999999999999</v>
      </c>
      <c r="O1026" s="11">
        <v>10.3</v>
      </c>
      <c r="P1026" s="11">
        <v>4.4000000000000004</v>
      </c>
      <c r="Q1026" s="11">
        <v>-0.1</v>
      </c>
      <c r="R1026" s="10">
        <v>10</v>
      </c>
      <c r="S1026" s="12">
        <v>615</v>
      </c>
      <c r="T1026" s="8" t="s">
        <v>923</v>
      </c>
      <c r="U1026" s="11">
        <v>-26</v>
      </c>
      <c r="V1026" s="11">
        <v>-23</v>
      </c>
      <c r="W1026" s="11">
        <v>-22</v>
      </c>
      <c r="X1026" s="11">
        <v>-20</v>
      </c>
      <c r="Y1026" s="11">
        <v>-7</v>
      </c>
      <c r="Z1026" s="11">
        <v>-30</v>
      </c>
      <c r="AA1026" s="11" t="s">
        <v>49</v>
      </c>
      <c r="AB1026" s="11">
        <v>76</v>
      </c>
      <c r="AC1026" s="11">
        <v>-2.2000000000000002</v>
      </c>
      <c r="AD1026" s="11">
        <v>160</v>
      </c>
      <c r="AE1026" s="11">
        <v>0.9</v>
      </c>
      <c r="AF1026" s="11">
        <v>176</v>
      </c>
      <c r="AG1026" s="11">
        <v>1</v>
      </c>
      <c r="AH1026" s="11" t="s">
        <v>49</v>
      </c>
      <c r="AI1026" s="11" t="s">
        <v>49</v>
      </c>
      <c r="AJ1026" s="11">
        <v>178</v>
      </c>
      <c r="AK1026" s="11" t="s">
        <v>199</v>
      </c>
      <c r="AL1026" s="11" t="s">
        <v>44</v>
      </c>
      <c r="AM1026" s="10" t="s">
        <v>44</v>
      </c>
      <c r="AN1026" s="9">
        <v>616</v>
      </c>
      <c r="AO1026" s="8" t="s">
        <v>924</v>
      </c>
      <c r="AP1026" s="8">
        <v>1010</v>
      </c>
      <c r="AQ1026" s="8">
        <v>31</v>
      </c>
      <c r="AR1026" s="8">
        <v>26</v>
      </c>
      <c r="AS1026" s="8">
        <v>28.5</v>
      </c>
      <c r="AT1026" s="8">
        <v>39</v>
      </c>
      <c r="AU1026" s="8" t="s">
        <v>46</v>
      </c>
      <c r="AV1026" s="8" t="s">
        <v>45</v>
      </c>
      <c r="AW1026" s="8" t="s">
        <v>44</v>
      </c>
      <c r="AX1026" s="8" t="s">
        <v>44</v>
      </c>
      <c r="AY1026" s="8">
        <v>144</v>
      </c>
      <c r="AZ1026" s="8" t="s">
        <v>32</v>
      </c>
      <c r="BA1026" s="7">
        <v>2.1</v>
      </c>
      <c r="BB1026" s="9"/>
      <c r="BC1026" s="8" t="s">
        <v>923</v>
      </c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7"/>
    </row>
    <row r="1027" spans="1:68" ht="14.25" customHeight="1">
      <c r="A1027" s="12">
        <v>370</v>
      </c>
      <c r="B1027" s="14">
        <v>358</v>
      </c>
      <c r="C1027" s="13" t="s">
        <v>30</v>
      </c>
      <c r="D1027" s="13" t="s">
        <v>86</v>
      </c>
      <c r="E1027" s="13" t="s">
        <v>920</v>
      </c>
      <c r="F1027" s="11">
        <v>-23.9</v>
      </c>
      <c r="G1027" s="11">
        <v>-20</v>
      </c>
      <c r="H1027" s="11">
        <v>-12.7</v>
      </c>
      <c r="I1027" s="11">
        <v>-2.9</v>
      </c>
      <c r="J1027" s="11">
        <v>3.7</v>
      </c>
      <c r="K1027" s="11">
        <v>11.5</v>
      </c>
      <c r="L1027" s="11">
        <v>16.5</v>
      </c>
      <c r="M1027" s="11">
        <v>16.2</v>
      </c>
      <c r="N1027" s="11">
        <v>11.1</v>
      </c>
      <c r="O1027" s="11">
        <v>2</v>
      </c>
      <c r="P1027" s="11">
        <v>-9.9</v>
      </c>
      <c r="Q1027" s="11">
        <v>-19.8</v>
      </c>
      <c r="R1027" s="10">
        <v>-2.4</v>
      </c>
      <c r="S1027" s="12">
        <v>358</v>
      </c>
      <c r="T1027" s="8" t="s">
        <v>922</v>
      </c>
      <c r="U1027" s="11">
        <v>-41</v>
      </c>
      <c r="V1027" s="11">
        <v>-38</v>
      </c>
      <c r="W1027" s="11">
        <v>-39</v>
      </c>
      <c r="X1027" s="11">
        <v>-35</v>
      </c>
      <c r="Y1027" s="11">
        <v>-29</v>
      </c>
      <c r="Z1027" s="11">
        <v>-47</v>
      </c>
      <c r="AA1027" s="11">
        <v>8.5</v>
      </c>
      <c r="AB1027" s="11">
        <v>189</v>
      </c>
      <c r="AC1027" s="11">
        <v>-13.9</v>
      </c>
      <c r="AD1027" s="11">
        <v>249</v>
      </c>
      <c r="AE1027" s="11">
        <v>-9.6</v>
      </c>
      <c r="AF1027" s="11">
        <v>263</v>
      </c>
      <c r="AG1027" s="11">
        <v>-8.6</v>
      </c>
      <c r="AH1027" s="11">
        <v>78</v>
      </c>
      <c r="AI1027" s="11">
        <v>76</v>
      </c>
      <c r="AJ1027" s="11">
        <v>210</v>
      </c>
      <c r="AK1027" s="11" t="s">
        <v>48</v>
      </c>
      <c r="AL1027" s="11">
        <v>4.5</v>
      </c>
      <c r="AM1027" s="10" t="s">
        <v>44</v>
      </c>
      <c r="AN1027" s="9">
        <v>358</v>
      </c>
      <c r="AO1027" s="8" t="s">
        <v>921</v>
      </c>
      <c r="AP1027" s="8">
        <v>1005</v>
      </c>
      <c r="AQ1027" s="8">
        <v>19.2</v>
      </c>
      <c r="AR1027" s="8">
        <v>23</v>
      </c>
      <c r="AS1027" s="8">
        <v>21.5</v>
      </c>
      <c r="AT1027" s="8">
        <v>35</v>
      </c>
      <c r="AU1027" s="8">
        <v>9.5</v>
      </c>
      <c r="AV1027" s="8">
        <v>80</v>
      </c>
      <c r="AW1027" s="8">
        <v>70</v>
      </c>
      <c r="AX1027" s="8">
        <v>447</v>
      </c>
      <c r="AY1027" s="8">
        <v>82</v>
      </c>
      <c r="AZ1027" s="8" t="s">
        <v>63</v>
      </c>
      <c r="BA1027" s="7">
        <v>3.4</v>
      </c>
      <c r="BB1027" s="9">
        <v>323</v>
      </c>
      <c r="BC1027" s="8" t="s">
        <v>920</v>
      </c>
      <c r="BD1027" s="8">
        <v>0.8</v>
      </c>
      <c r="BE1027" s="8">
        <v>1.1000000000000001</v>
      </c>
      <c r="BF1027" s="8">
        <v>1.9</v>
      </c>
      <c r="BG1027" s="8">
        <v>3.8</v>
      </c>
      <c r="BH1027" s="8">
        <v>6.3</v>
      </c>
      <c r="BI1027" s="8">
        <v>10.8</v>
      </c>
      <c r="BJ1027" s="8">
        <v>15.1</v>
      </c>
      <c r="BK1027" s="8">
        <v>15</v>
      </c>
      <c r="BL1027" s="8">
        <v>10.5</v>
      </c>
      <c r="BM1027" s="8">
        <v>5.3</v>
      </c>
      <c r="BN1027" s="8">
        <v>2.2999999999999998</v>
      </c>
      <c r="BO1027" s="8">
        <v>1.2</v>
      </c>
      <c r="BP1027" s="7">
        <v>6.2</v>
      </c>
    </row>
    <row r="1028" spans="1:68" ht="14.25" customHeight="1">
      <c r="A1028" s="12">
        <v>371</v>
      </c>
      <c r="B1028" s="14">
        <v>75</v>
      </c>
      <c r="C1028" s="13" t="s">
        <v>30</v>
      </c>
      <c r="D1028" s="13" t="s">
        <v>422</v>
      </c>
      <c r="E1028" s="13" t="s">
        <v>917</v>
      </c>
      <c r="F1028" s="11">
        <v>-13.8</v>
      </c>
      <c r="G1028" s="11">
        <v>-12.9</v>
      </c>
      <c r="H1028" s="11">
        <v>-6.6</v>
      </c>
      <c r="I1028" s="11">
        <v>2</v>
      </c>
      <c r="J1028" s="11">
        <v>9</v>
      </c>
      <c r="K1028" s="11">
        <v>14.5</v>
      </c>
      <c r="L1028" s="11">
        <v>16.8</v>
      </c>
      <c r="M1028" s="11">
        <v>14.5</v>
      </c>
      <c r="N1028" s="11">
        <v>8.5</v>
      </c>
      <c r="O1028" s="11">
        <v>1.6</v>
      </c>
      <c r="P1028" s="11">
        <v>-4.5999999999999996</v>
      </c>
      <c r="Q1028" s="11">
        <v>-10.8</v>
      </c>
      <c r="R1028" s="10">
        <v>1.5</v>
      </c>
      <c r="S1028" s="12">
        <v>75</v>
      </c>
      <c r="T1028" s="8" t="s">
        <v>919</v>
      </c>
      <c r="U1028" s="11">
        <v>-42</v>
      </c>
      <c r="V1028" s="11">
        <v>-39</v>
      </c>
      <c r="W1028" s="11">
        <v>-38</v>
      </c>
      <c r="X1028" s="11">
        <v>-34</v>
      </c>
      <c r="Y1028" s="11">
        <v>-18</v>
      </c>
      <c r="Z1028" s="11">
        <v>-48</v>
      </c>
      <c r="AA1028" s="11">
        <v>8</v>
      </c>
      <c r="AB1028" s="11">
        <v>166</v>
      </c>
      <c r="AC1028" s="11">
        <v>-8.6</v>
      </c>
      <c r="AD1028" s="11">
        <v>236</v>
      </c>
      <c r="AE1028" s="11">
        <v>-4.9000000000000004</v>
      </c>
      <c r="AF1028" s="11">
        <v>256</v>
      </c>
      <c r="AG1028" s="11">
        <v>-3.8</v>
      </c>
      <c r="AH1028" s="11">
        <v>84</v>
      </c>
      <c r="AI1028" s="11">
        <v>84</v>
      </c>
      <c r="AJ1028" s="11">
        <v>177</v>
      </c>
      <c r="AK1028" s="11" t="s">
        <v>34</v>
      </c>
      <c r="AL1028" s="11" t="s">
        <v>44</v>
      </c>
      <c r="AM1028" s="10">
        <v>3</v>
      </c>
      <c r="AN1028" s="9">
        <v>75</v>
      </c>
      <c r="AO1028" s="8" t="s">
        <v>918</v>
      </c>
      <c r="AP1028" s="8">
        <v>995</v>
      </c>
      <c r="AQ1028" s="8">
        <v>20.3</v>
      </c>
      <c r="AR1028" s="8">
        <v>24.6</v>
      </c>
      <c r="AS1028" s="8">
        <v>22.7</v>
      </c>
      <c r="AT1028" s="8">
        <v>37</v>
      </c>
      <c r="AU1028" s="8">
        <v>11.8</v>
      </c>
      <c r="AV1028" s="8">
        <v>75</v>
      </c>
      <c r="AW1028" s="8">
        <v>58</v>
      </c>
      <c r="AX1028" s="8">
        <v>425</v>
      </c>
      <c r="AY1028" s="8">
        <v>58</v>
      </c>
      <c r="AZ1028" s="8" t="s">
        <v>32</v>
      </c>
      <c r="BA1028" s="7" t="s">
        <v>46</v>
      </c>
      <c r="BB1028" s="9">
        <v>60</v>
      </c>
      <c r="BC1028" s="8" t="s">
        <v>917</v>
      </c>
      <c r="BD1028" s="8">
        <v>2.2000000000000002</v>
      </c>
      <c r="BE1028" s="8">
        <v>2.2999999999999998</v>
      </c>
      <c r="BF1028" s="8">
        <v>3.3</v>
      </c>
      <c r="BG1028" s="8">
        <v>5.3</v>
      </c>
      <c r="BH1028" s="8">
        <v>7.7</v>
      </c>
      <c r="BI1028" s="8">
        <v>11.5</v>
      </c>
      <c r="BJ1028" s="8">
        <v>14.2</v>
      </c>
      <c r="BK1028" s="8">
        <v>13.1</v>
      </c>
      <c r="BL1028" s="8">
        <v>9.5</v>
      </c>
      <c r="BM1028" s="8">
        <v>6.1</v>
      </c>
      <c r="BN1028" s="8">
        <v>4.2</v>
      </c>
      <c r="BO1028" s="8">
        <v>2.9</v>
      </c>
      <c r="BP1028" s="7">
        <v>6.9</v>
      </c>
    </row>
    <row r="1029" spans="1:68" ht="14.25" customHeight="1">
      <c r="A1029" s="12">
        <v>372</v>
      </c>
      <c r="B1029" s="14">
        <v>70</v>
      </c>
      <c r="C1029" s="13" t="s">
        <v>30</v>
      </c>
      <c r="D1029" s="13" t="s">
        <v>91</v>
      </c>
      <c r="E1029" s="13" t="s">
        <v>914</v>
      </c>
      <c r="F1029" s="11">
        <v>-10</v>
      </c>
      <c r="G1029" s="11">
        <v>-9.1</v>
      </c>
      <c r="H1029" s="11">
        <v>-3.4</v>
      </c>
      <c r="I1029" s="11">
        <v>7.8</v>
      </c>
      <c r="J1029" s="11">
        <v>15.4</v>
      </c>
      <c r="K1029" s="11">
        <v>19.600000000000001</v>
      </c>
      <c r="L1029" s="11">
        <v>21.4</v>
      </c>
      <c r="M1029" s="11">
        <v>20.2</v>
      </c>
      <c r="N1029" s="11">
        <v>14</v>
      </c>
      <c r="O1029" s="11">
        <v>5.9</v>
      </c>
      <c r="P1029" s="11">
        <v>-0.5</v>
      </c>
      <c r="Q1029" s="11">
        <v>-5.8</v>
      </c>
      <c r="R1029" s="10">
        <v>6.3</v>
      </c>
      <c r="S1029" s="12">
        <v>70</v>
      </c>
      <c r="T1029" s="8" t="s">
        <v>916</v>
      </c>
      <c r="U1029" s="11">
        <v>-32</v>
      </c>
      <c r="V1029" s="11">
        <v>-30</v>
      </c>
      <c r="W1029" s="11">
        <v>-29</v>
      </c>
      <c r="X1029" s="11">
        <v>-26</v>
      </c>
      <c r="Y1029" s="11" t="s">
        <v>49</v>
      </c>
      <c r="Z1029" s="11">
        <v>-38</v>
      </c>
      <c r="AA1029" s="11">
        <v>7.2</v>
      </c>
      <c r="AB1029" s="11">
        <v>139</v>
      </c>
      <c r="AC1029" s="11">
        <v>-5.7</v>
      </c>
      <c r="AD1029" s="11">
        <v>191</v>
      </c>
      <c r="AE1029" s="11">
        <v>-3.4</v>
      </c>
      <c r="AF1029" s="11">
        <v>204</v>
      </c>
      <c r="AG1029" s="11">
        <v>-2.6</v>
      </c>
      <c r="AH1029" s="11">
        <v>82</v>
      </c>
      <c r="AI1029" s="11">
        <v>80</v>
      </c>
      <c r="AJ1029" s="11">
        <v>177</v>
      </c>
      <c r="AK1029" s="11" t="s">
        <v>27</v>
      </c>
      <c r="AL1029" s="11" t="s">
        <v>44</v>
      </c>
      <c r="AM1029" s="10">
        <v>3.8</v>
      </c>
      <c r="AN1029" s="9">
        <v>70</v>
      </c>
      <c r="AO1029" s="8" t="s">
        <v>915</v>
      </c>
      <c r="AP1029" s="8">
        <v>1000</v>
      </c>
      <c r="AQ1029" s="8">
        <v>28</v>
      </c>
      <c r="AR1029" s="8">
        <v>32</v>
      </c>
      <c r="AS1029" s="8">
        <v>28.2</v>
      </c>
      <c r="AT1029" s="8">
        <v>42</v>
      </c>
      <c r="AU1029" s="8">
        <v>13.1</v>
      </c>
      <c r="AV1029" s="8">
        <v>62</v>
      </c>
      <c r="AW1029" s="8">
        <v>39</v>
      </c>
      <c r="AX1029" s="8">
        <v>301</v>
      </c>
      <c r="AY1029" s="8">
        <v>92</v>
      </c>
      <c r="AZ1029" s="8" t="s">
        <v>32</v>
      </c>
      <c r="BA1029" s="7" t="s">
        <v>46</v>
      </c>
      <c r="BB1029" s="9">
        <v>55</v>
      </c>
      <c r="BC1029" s="8" t="s">
        <v>914</v>
      </c>
      <c r="BD1029" s="8">
        <v>2.9</v>
      </c>
      <c r="BE1029" s="8">
        <v>3</v>
      </c>
      <c r="BF1029" s="8">
        <v>4.3</v>
      </c>
      <c r="BG1029" s="8">
        <v>7.1</v>
      </c>
      <c r="BH1029" s="8">
        <v>10</v>
      </c>
      <c r="BI1029" s="8">
        <v>13.2</v>
      </c>
      <c r="BJ1029" s="8">
        <v>15.1</v>
      </c>
      <c r="BK1029" s="8">
        <v>13.7</v>
      </c>
      <c r="BL1029" s="8">
        <v>10.1</v>
      </c>
      <c r="BM1029" s="8">
        <v>7.3</v>
      </c>
      <c r="BN1029" s="8">
        <v>5.3</v>
      </c>
      <c r="BO1029" s="8">
        <v>3.9</v>
      </c>
      <c r="BP1029" s="7">
        <v>8</v>
      </c>
    </row>
    <row r="1030" spans="1:68" ht="14.25" customHeight="1">
      <c r="A1030" s="12">
        <v>373</v>
      </c>
      <c r="B1030" s="14">
        <v>238</v>
      </c>
      <c r="C1030" s="13" t="s">
        <v>30</v>
      </c>
      <c r="D1030" s="13" t="s">
        <v>149</v>
      </c>
      <c r="E1030" s="13" t="s">
        <v>911</v>
      </c>
      <c r="F1030" s="11">
        <v>-18.8</v>
      </c>
      <c r="G1030" s="11">
        <v>-17.3</v>
      </c>
      <c r="H1030" s="11">
        <v>-10.1</v>
      </c>
      <c r="I1030" s="11">
        <v>1.5</v>
      </c>
      <c r="J1030" s="11">
        <v>10.3</v>
      </c>
      <c r="K1030" s="11">
        <v>16.7</v>
      </c>
      <c r="L1030" s="11">
        <v>19</v>
      </c>
      <c r="M1030" s="11">
        <v>15.8</v>
      </c>
      <c r="N1030" s="11">
        <v>10.1</v>
      </c>
      <c r="O1030" s="11">
        <v>1.9</v>
      </c>
      <c r="P1030" s="11">
        <v>-9.1999999999999993</v>
      </c>
      <c r="Q1030" s="11">
        <v>-16.5</v>
      </c>
      <c r="R1030" s="10">
        <v>0.2</v>
      </c>
      <c r="S1030" s="12">
        <v>238</v>
      </c>
      <c r="T1030" s="8" t="s">
        <v>913</v>
      </c>
      <c r="U1030" s="11">
        <v>-44</v>
      </c>
      <c r="V1030" s="11">
        <v>-42</v>
      </c>
      <c r="W1030" s="11">
        <v>-42</v>
      </c>
      <c r="X1030" s="11">
        <v>-39</v>
      </c>
      <c r="Y1030" s="11">
        <v>-24</v>
      </c>
      <c r="Z1030" s="11">
        <v>-50</v>
      </c>
      <c r="AA1030" s="11">
        <v>9.3000000000000007</v>
      </c>
      <c r="AB1030" s="11">
        <v>178</v>
      </c>
      <c r="AC1030" s="11">
        <v>-12.4</v>
      </c>
      <c r="AD1030" s="11">
        <v>230</v>
      </c>
      <c r="AE1030" s="11">
        <v>-8.6999999999999993</v>
      </c>
      <c r="AF1030" s="11">
        <v>243</v>
      </c>
      <c r="AG1030" s="11">
        <v>-7.7</v>
      </c>
      <c r="AH1030" s="11">
        <v>80</v>
      </c>
      <c r="AI1030" s="11">
        <v>77</v>
      </c>
      <c r="AJ1030" s="11">
        <v>104</v>
      </c>
      <c r="AK1030" s="11" t="s">
        <v>39</v>
      </c>
      <c r="AL1030" s="11">
        <v>5.7</v>
      </c>
      <c r="AM1030" s="10">
        <v>3.9</v>
      </c>
      <c r="AN1030" s="9">
        <v>238</v>
      </c>
      <c r="AO1030" s="8" t="s">
        <v>912</v>
      </c>
      <c r="AP1030" s="8">
        <v>995</v>
      </c>
      <c r="AQ1030" s="8">
        <v>22</v>
      </c>
      <c r="AR1030" s="8">
        <v>26.4</v>
      </c>
      <c r="AS1030" s="8">
        <v>24.6</v>
      </c>
      <c r="AT1030" s="8">
        <v>38</v>
      </c>
      <c r="AU1030" s="8">
        <v>11.4</v>
      </c>
      <c r="AV1030" s="8">
        <v>72</v>
      </c>
      <c r="AW1030" s="8">
        <v>56</v>
      </c>
      <c r="AX1030" s="8">
        <v>338</v>
      </c>
      <c r="AY1030" s="8">
        <v>95</v>
      </c>
      <c r="AZ1030" s="8" t="s">
        <v>82</v>
      </c>
      <c r="BA1030" s="7">
        <v>0</v>
      </c>
      <c r="BB1030" s="9">
        <v>210</v>
      </c>
      <c r="BC1030" s="8" t="s">
        <v>911</v>
      </c>
      <c r="BD1030" s="8">
        <v>1.4</v>
      </c>
      <c r="BE1030" s="8">
        <v>1.5</v>
      </c>
      <c r="BF1030" s="8">
        <v>2.6</v>
      </c>
      <c r="BG1030" s="8">
        <v>5</v>
      </c>
      <c r="BH1030" s="8">
        <v>7.3</v>
      </c>
      <c r="BI1030" s="8">
        <v>12.3</v>
      </c>
      <c r="BJ1030" s="8">
        <v>15.6</v>
      </c>
      <c r="BK1030" s="8">
        <v>13.4</v>
      </c>
      <c r="BL1030" s="8">
        <v>9.1999999999999993</v>
      </c>
      <c r="BM1030" s="8">
        <v>5.5</v>
      </c>
      <c r="BN1030" s="8">
        <v>3</v>
      </c>
      <c r="BO1030" s="8">
        <v>1.8</v>
      </c>
      <c r="BP1030" s="7">
        <v>6.6</v>
      </c>
    </row>
    <row r="1031" spans="1:68" ht="14.25" customHeight="1">
      <c r="A1031" s="12">
        <v>374</v>
      </c>
      <c r="B1031" s="14">
        <v>294</v>
      </c>
      <c r="C1031" s="13" t="s">
        <v>30</v>
      </c>
      <c r="D1031" s="13" t="s">
        <v>72</v>
      </c>
      <c r="E1031" s="13" t="s">
        <v>908</v>
      </c>
      <c r="F1031" s="11">
        <v>-19.7</v>
      </c>
      <c r="G1031" s="11">
        <v>-17</v>
      </c>
      <c r="H1031" s="11">
        <v>-10.9</v>
      </c>
      <c r="I1031" s="11">
        <v>-2.4</v>
      </c>
      <c r="J1031" s="11">
        <v>3</v>
      </c>
      <c r="K1031" s="11">
        <v>8.5</v>
      </c>
      <c r="L1031" s="11">
        <v>13.2</v>
      </c>
      <c r="M1031" s="11">
        <v>14.2</v>
      </c>
      <c r="N1031" s="11">
        <v>10.5</v>
      </c>
      <c r="O1031" s="11">
        <v>2.9</v>
      </c>
      <c r="P1031" s="11">
        <v>-7.6</v>
      </c>
      <c r="Q1031" s="11">
        <v>-16.3</v>
      </c>
      <c r="R1031" s="10">
        <v>-1.8</v>
      </c>
      <c r="S1031" s="12">
        <v>294</v>
      </c>
      <c r="T1031" s="8" t="s">
        <v>910</v>
      </c>
      <c r="U1031" s="11">
        <v>-36</v>
      </c>
      <c r="V1031" s="11">
        <v>-35</v>
      </c>
      <c r="W1031" s="11">
        <v>-33</v>
      </c>
      <c r="X1031" s="11">
        <v>-32</v>
      </c>
      <c r="Y1031" s="11">
        <v>-25</v>
      </c>
      <c r="Z1031" s="11">
        <v>-48</v>
      </c>
      <c r="AA1031" s="11">
        <v>10.3</v>
      </c>
      <c r="AB1031" s="11">
        <v>187</v>
      </c>
      <c r="AC1031" s="11">
        <v>-11.7</v>
      </c>
      <c r="AD1031" s="11">
        <v>260</v>
      </c>
      <c r="AE1031" s="11">
        <v>-7.2</v>
      </c>
      <c r="AF1031" s="11">
        <v>281</v>
      </c>
      <c r="AG1031" s="11">
        <v>-6</v>
      </c>
      <c r="AH1031" s="11">
        <v>76</v>
      </c>
      <c r="AI1031" s="11">
        <v>69</v>
      </c>
      <c r="AJ1031" s="11">
        <v>149</v>
      </c>
      <c r="AK1031" s="11" t="s">
        <v>39</v>
      </c>
      <c r="AL1031" s="11" t="s">
        <v>44</v>
      </c>
      <c r="AM1031" s="10">
        <v>4.2</v>
      </c>
      <c r="AN1031" s="9">
        <v>288</v>
      </c>
      <c r="AO1031" s="8" t="s">
        <v>909</v>
      </c>
      <c r="AP1031" s="8">
        <v>1010</v>
      </c>
      <c r="AQ1031" s="8">
        <v>17</v>
      </c>
      <c r="AR1031" s="8">
        <v>21.4</v>
      </c>
      <c r="AS1031" s="8">
        <v>19.399999999999999</v>
      </c>
      <c r="AT1031" s="8">
        <v>37</v>
      </c>
      <c r="AU1031" s="8">
        <v>9.1999999999999993</v>
      </c>
      <c r="AV1031" s="8">
        <v>85</v>
      </c>
      <c r="AW1031" s="8">
        <v>72</v>
      </c>
      <c r="AX1031" s="8">
        <v>481</v>
      </c>
      <c r="AY1031" s="8">
        <v>87</v>
      </c>
      <c r="AZ1031" s="8" t="s">
        <v>25</v>
      </c>
      <c r="BA1031" s="7" t="s">
        <v>46</v>
      </c>
      <c r="BB1031" s="9">
        <v>259</v>
      </c>
      <c r="BC1031" s="8" t="s">
        <v>908</v>
      </c>
      <c r="BD1031" s="8">
        <v>1.2</v>
      </c>
      <c r="BE1031" s="8">
        <v>1.4</v>
      </c>
      <c r="BF1031" s="8">
        <v>2.2000000000000002</v>
      </c>
      <c r="BG1031" s="8">
        <v>4</v>
      </c>
      <c r="BH1031" s="8">
        <v>6.1</v>
      </c>
      <c r="BI1031" s="8">
        <v>9</v>
      </c>
      <c r="BJ1031" s="8">
        <v>12.6</v>
      </c>
      <c r="BK1031" s="8">
        <v>13.7</v>
      </c>
      <c r="BL1031" s="8">
        <v>10.5</v>
      </c>
      <c r="BM1031" s="8">
        <v>5.9</v>
      </c>
      <c r="BN1031" s="8">
        <v>2.9</v>
      </c>
      <c r="BO1031" s="8">
        <v>1.6</v>
      </c>
      <c r="BP1031" s="7">
        <v>5.9</v>
      </c>
    </row>
    <row r="1032" spans="1:68" ht="14.25" customHeight="1">
      <c r="A1032" s="12">
        <v>375</v>
      </c>
      <c r="B1032" s="14">
        <v>252</v>
      </c>
      <c r="C1032" s="13" t="s">
        <v>30</v>
      </c>
      <c r="D1032" s="13" t="s">
        <v>189</v>
      </c>
      <c r="E1032" s="13" t="s">
        <v>904</v>
      </c>
      <c r="F1032" s="11">
        <v>-14.6</v>
      </c>
      <c r="G1032" s="11">
        <v>-13.7</v>
      </c>
      <c r="H1032" s="11">
        <v>-6.8</v>
      </c>
      <c r="I1032" s="11">
        <v>2.9</v>
      </c>
      <c r="J1032" s="11">
        <v>11</v>
      </c>
      <c r="K1032" s="11">
        <v>16.7</v>
      </c>
      <c r="L1032" s="11">
        <v>18.399999999999999</v>
      </c>
      <c r="M1032" s="11">
        <v>16.399999999999999</v>
      </c>
      <c r="N1032" s="11">
        <v>10.1</v>
      </c>
      <c r="O1032" s="11">
        <v>2.2999999999999998</v>
      </c>
      <c r="P1032" s="11">
        <v>-5.0999999999999996</v>
      </c>
      <c r="Q1032" s="11">
        <v>-12.1</v>
      </c>
      <c r="R1032" s="10">
        <v>2.1</v>
      </c>
      <c r="S1032" s="12">
        <v>252</v>
      </c>
      <c r="T1032" s="8" t="s">
        <v>907</v>
      </c>
      <c r="U1032" s="11">
        <v>-44</v>
      </c>
      <c r="V1032" s="11">
        <v>-42</v>
      </c>
      <c r="W1032" s="11">
        <v>-40</v>
      </c>
      <c r="X1032" s="11">
        <v>-36</v>
      </c>
      <c r="Y1032" s="11">
        <v>-21</v>
      </c>
      <c r="Z1032" s="11">
        <v>-50</v>
      </c>
      <c r="AA1032" s="11">
        <v>7.1</v>
      </c>
      <c r="AB1032" s="11">
        <v>164</v>
      </c>
      <c r="AC1032" s="11">
        <v>-9.6</v>
      </c>
      <c r="AD1032" s="11">
        <v>221</v>
      </c>
      <c r="AE1032" s="11">
        <v>-6.1</v>
      </c>
      <c r="AF1032" s="11">
        <v>237</v>
      </c>
      <c r="AG1032" s="11">
        <v>-5.0999999999999996</v>
      </c>
      <c r="AH1032" s="11">
        <v>80</v>
      </c>
      <c r="AI1032" s="11">
        <v>77</v>
      </c>
      <c r="AJ1032" s="11">
        <v>183</v>
      </c>
      <c r="AK1032" s="11" t="s">
        <v>39</v>
      </c>
      <c r="AL1032" s="11" t="s">
        <v>44</v>
      </c>
      <c r="AM1032" s="10">
        <v>2.9</v>
      </c>
      <c r="AN1032" s="9">
        <v>252</v>
      </c>
      <c r="AO1032" s="8" t="s">
        <v>906</v>
      </c>
      <c r="AP1032" s="8">
        <v>1000</v>
      </c>
      <c r="AQ1032" s="8">
        <v>22</v>
      </c>
      <c r="AR1032" s="8">
        <v>27</v>
      </c>
      <c r="AS1032" s="8">
        <v>24.2</v>
      </c>
      <c r="AT1032" s="8">
        <v>36</v>
      </c>
      <c r="AU1032" s="8">
        <v>11.3</v>
      </c>
      <c r="AV1032" s="8">
        <v>69</v>
      </c>
      <c r="AW1032" s="8">
        <v>53</v>
      </c>
      <c r="AX1032" s="8">
        <v>381</v>
      </c>
      <c r="AY1032" s="8">
        <v>70</v>
      </c>
      <c r="AZ1032" s="8" t="s">
        <v>54</v>
      </c>
      <c r="BA1032" s="7" t="s">
        <v>905</v>
      </c>
      <c r="BB1032" s="9">
        <v>223</v>
      </c>
      <c r="BC1032" s="8" t="s">
        <v>904</v>
      </c>
      <c r="BD1032" s="8">
        <v>1.9</v>
      </c>
      <c r="BE1032" s="8">
        <v>1.9</v>
      </c>
      <c r="BF1032" s="8">
        <v>3.1</v>
      </c>
      <c r="BG1032" s="8">
        <v>5.5</v>
      </c>
      <c r="BH1032" s="8">
        <v>8.1999999999999993</v>
      </c>
      <c r="BI1032" s="8">
        <v>11.8</v>
      </c>
      <c r="BJ1032" s="8">
        <v>14.6</v>
      </c>
      <c r="BK1032" s="8">
        <v>13</v>
      </c>
      <c r="BL1032" s="8">
        <v>9.6</v>
      </c>
      <c r="BM1032" s="8">
        <v>6</v>
      </c>
      <c r="BN1032" s="8">
        <v>3.8</v>
      </c>
      <c r="BO1032" s="8">
        <v>2.5</v>
      </c>
      <c r="BP1032" s="7">
        <v>6.8</v>
      </c>
    </row>
    <row r="1033" spans="1:68" ht="14.25" customHeight="1">
      <c r="A1033" s="12">
        <v>376</v>
      </c>
      <c r="B1033" s="14">
        <v>25</v>
      </c>
      <c r="C1033" s="13" t="s">
        <v>30</v>
      </c>
      <c r="D1033" s="13" t="s">
        <v>99</v>
      </c>
      <c r="E1033" s="13" t="s">
        <v>901</v>
      </c>
      <c r="F1033" s="11">
        <v>-31.8</v>
      </c>
      <c r="G1033" s="11">
        <v>-25.1</v>
      </c>
      <c r="H1033" s="11">
        <v>-13.3</v>
      </c>
      <c r="I1033" s="11">
        <v>0.2</v>
      </c>
      <c r="J1033" s="11">
        <v>9.4</v>
      </c>
      <c r="K1033" s="11">
        <v>16</v>
      </c>
      <c r="L1033" s="11">
        <v>19.3</v>
      </c>
      <c r="M1033" s="11">
        <v>17</v>
      </c>
      <c r="N1033" s="11">
        <v>9.9</v>
      </c>
      <c r="O1033" s="11">
        <v>-0.3</v>
      </c>
      <c r="P1033" s="11">
        <v>-16.8</v>
      </c>
      <c r="Q1033" s="11">
        <v>-29</v>
      </c>
      <c r="R1033" s="10">
        <v>-3.7</v>
      </c>
      <c r="S1033" s="12">
        <v>25</v>
      </c>
      <c r="T1033" s="8" t="s">
        <v>903</v>
      </c>
      <c r="U1033" s="11">
        <v>-46</v>
      </c>
      <c r="V1033" s="11">
        <v>-44</v>
      </c>
      <c r="W1033" s="11">
        <v>-44</v>
      </c>
      <c r="X1033" s="11">
        <v>-43</v>
      </c>
      <c r="Y1033" s="11">
        <v>-37</v>
      </c>
      <c r="Z1033" s="11">
        <v>-55</v>
      </c>
      <c r="AA1033" s="11">
        <v>15</v>
      </c>
      <c r="AB1033" s="11">
        <v>183</v>
      </c>
      <c r="AC1033" s="11">
        <v>-19.2</v>
      </c>
      <c r="AD1033" s="11">
        <v>232</v>
      </c>
      <c r="AE1033" s="11">
        <v>-14.3</v>
      </c>
      <c r="AF1033" s="11">
        <v>246</v>
      </c>
      <c r="AG1033" s="11">
        <v>-13</v>
      </c>
      <c r="AH1033" s="11">
        <v>74</v>
      </c>
      <c r="AI1033" s="11">
        <v>68</v>
      </c>
      <c r="AJ1033" s="11">
        <v>58</v>
      </c>
      <c r="AK1033" s="11" t="s">
        <v>199</v>
      </c>
      <c r="AL1033" s="11">
        <v>2.1</v>
      </c>
      <c r="AM1033" s="10">
        <v>1.6</v>
      </c>
      <c r="AN1033" s="9">
        <v>25</v>
      </c>
      <c r="AO1033" s="8" t="s">
        <v>902</v>
      </c>
      <c r="AP1033" s="8">
        <v>980</v>
      </c>
      <c r="AQ1033" s="8">
        <v>23.5</v>
      </c>
      <c r="AR1033" s="8">
        <v>27.6</v>
      </c>
      <c r="AS1033" s="8">
        <v>25.9</v>
      </c>
      <c r="AT1033" s="8">
        <v>35</v>
      </c>
      <c r="AU1033" s="8">
        <v>12.5</v>
      </c>
      <c r="AV1033" s="8">
        <v>79</v>
      </c>
      <c r="AW1033" s="8">
        <v>63</v>
      </c>
      <c r="AX1033" s="8">
        <v>548</v>
      </c>
      <c r="AY1033" s="8">
        <v>135</v>
      </c>
      <c r="AZ1033" s="8" t="s">
        <v>37</v>
      </c>
      <c r="BA1033" s="7">
        <v>0</v>
      </c>
      <c r="BB1033" s="9">
        <v>17</v>
      </c>
      <c r="BC1033" s="8" t="s">
        <v>901</v>
      </c>
      <c r="BD1033" s="8">
        <v>0.4</v>
      </c>
      <c r="BE1033" s="8">
        <v>0.7</v>
      </c>
      <c r="BF1033" s="8">
        <v>1.6</v>
      </c>
      <c r="BG1033" s="8">
        <v>3.8</v>
      </c>
      <c r="BH1033" s="8">
        <v>6.9</v>
      </c>
      <c r="BI1033" s="8">
        <v>13.3</v>
      </c>
      <c r="BJ1033" s="8">
        <v>18</v>
      </c>
      <c r="BK1033" s="8">
        <v>16</v>
      </c>
      <c r="BL1033" s="8">
        <v>9.5</v>
      </c>
      <c r="BM1033" s="8">
        <v>4.2</v>
      </c>
      <c r="BN1033" s="8">
        <v>1.5</v>
      </c>
      <c r="BO1033" s="8">
        <v>0.6</v>
      </c>
      <c r="BP1033" s="7">
        <v>6.4</v>
      </c>
    </row>
    <row r="1034" spans="1:68" ht="14.25" customHeight="1">
      <c r="A1034" s="12">
        <v>377</v>
      </c>
      <c r="B1034" s="14">
        <v>588</v>
      </c>
      <c r="C1034" s="13" t="s">
        <v>117</v>
      </c>
      <c r="D1034" s="13" t="s">
        <v>168</v>
      </c>
      <c r="E1034" s="13" t="s">
        <v>899</v>
      </c>
      <c r="F1034" s="11">
        <v>-4.9000000000000004</v>
      </c>
      <c r="G1034" s="11">
        <v>-3.3</v>
      </c>
      <c r="H1034" s="11">
        <v>3.8</v>
      </c>
      <c r="I1034" s="11">
        <v>13.4</v>
      </c>
      <c r="J1034" s="11">
        <v>21.1</v>
      </c>
      <c r="K1034" s="11">
        <v>25.9</v>
      </c>
      <c r="L1034" s="11">
        <v>28</v>
      </c>
      <c r="M1034" s="11">
        <v>25.4</v>
      </c>
      <c r="N1034" s="11">
        <v>19.100000000000001</v>
      </c>
      <c r="O1034" s="11">
        <v>10.7</v>
      </c>
      <c r="P1034" s="11">
        <v>2.9</v>
      </c>
      <c r="Q1034" s="11">
        <v>-2.9</v>
      </c>
      <c r="R1034" s="10">
        <v>11.6</v>
      </c>
      <c r="S1034" s="12">
        <v>577</v>
      </c>
      <c r="T1034" s="8" t="s">
        <v>899</v>
      </c>
      <c r="U1034" s="11">
        <v>-27</v>
      </c>
      <c r="V1034" s="11">
        <v>-24</v>
      </c>
      <c r="W1034" s="11">
        <v>-23</v>
      </c>
      <c r="X1034" s="11" t="s">
        <v>64</v>
      </c>
      <c r="Y1034" s="11">
        <v>-9</v>
      </c>
      <c r="Z1034" s="11">
        <v>-34</v>
      </c>
      <c r="AA1034" s="11">
        <v>8.8000000000000007</v>
      </c>
      <c r="AB1034" s="11">
        <v>90</v>
      </c>
      <c r="AC1034" s="11" t="s">
        <v>45</v>
      </c>
      <c r="AD1034" s="11">
        <v>143</v>
      </c>
      <c r="AE1034" s="11">
        <v>-0.6</v>
      </c>
      <c r="AF1034" s="11" t="s">
        <v>114</v>
      </c>
      <c r="AG1034" s="11" t="s">
        <v>44</v>
      </c>
      <c r="AH1034" s="11" t="s">
        <v>49</v>
      </c>
      <c r="AI1034" s="11" t="s">
        <v>49</v>
      </c>
      <c r="AJ1034" s="11" t="s">
        <v>84</v>
      </c>
      <c r="AK1034" s="11" t="s">
        <v>44</v>
      </c>
      <c r="AL1034" s="11">
        <v>4.2</v>
      </c>
      <c r="AM1034" s="10" t="s">
        <v>44</v>
      </c>
      <c r="AN1034" s="9">
        <v>578</v>
      </c>
      <c r="AO1034" s="8" t="s">
        <v>900</v>
      </c>
      <c r="AP1034" s="8">
        <v>1010</v>
      </c>
      <c r="AQ1034" s="8">
        <v>33.4</v>
      </c>
      <c r="AR1034" s="8">
        <v>37.299999999999997</v>
      </c>
      <c r="AS1034" s="8">
        <v>35.5</v>
      </c>
      <c r="AT1034" s="8">
        <v>45</v>
      </c>
      <c r="AU1034" s="8">
        <v>15.7</v>
      </c>
      <c r="AV1034" s="8" t="s">
        <v>45</v>
      </c>
      <c r="AW1034" s="8" t="s">
        <v>44</v>
      </c>
      <c r="AX1034" s="8" t="s">
        <v>44</v>
      </c>
      <c r="AY1034" s="8">
        <v>48</v>
      </c>
      <c r="AZ1034" s="8" t="s">
        <v>114</v>
      </c>
      <c r="BA1034" s="7">
        <v>4.4000000000000004</v>
      </c>
      <c r="BB1034" s="9"/>
      <c r="BC1034" s="8" t="s">
        <v>899</v>
      </c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7"/>
    </row>
    <row r="1035" spans="1:68" ht="14.25" customHeight="1">
      <c r="A1035" s="12">
        <v>378</v>
      </c>
      <c r="B1035" s="14">
        <v>593</v>
      </c>
      <c r="C1035" s="13" t="s">
        <v>117</v>
      </c>
      <c r="D1035" s="13" t="s">
        <v>898</v>
      </c>
      <c r="E1035" s="13" t="s">
        <v>896</v>
      </c>
      <c r="F1035" s="11">
        <v>-0.1</v>
      </c>
      <c r="G1035" s="11">
        <v>2.2000000000000002</v>
      </c>
      <c r="H1035" s="11">
        <v>7</v>
      </c>
      <c r="I1035" s="11">
        <v>14.3</v>
      </c>
      <c r="J1035" s="11">
        <v>20.399999999999999</v>
      </c>
      <c r="K1035" s="11">
        <v>25.8</v>
      </c>
      <c r="L1035" s="11">
        <v>28.1</v>
      </c>
      <c r="M1035" s="11">
        <v>25.8</v>
      </c>
      <c r="N1035" s="11">
        <v>19.7</v>
      </c>
      <c r="O1035" s="11">
        <v>12.4</v>
      </c>
      <c r="P1035" s="11">
        <v>6</v>
      </c>
      <c r="Q1035" s="11">
        <v>1.5</v>
      </c>
      <c r="R1035" s="10">
        <v>13.6</v>
      </c>
      <c r="S1035" s="12">
        <v>582</v>
      </c>
      <c r="T1035" s="8" t="s">
        <v>896</v>
      </c>
      <c r="U1035" s="11">
        <v>-22</v>
      </c>
      <c r="V1035" s="11">
        <v>-19</v>
      </c>
      <c r="W1035" s="11">
        <v>-19</v>
      </c>
      <c r="X1035" s="11" t="s">
        <v>64</v>
      </c>
      <c r="Y1035" s="11">
        <v>-4</v>
      </c>
      <c r="Z1035" s="11">
        <v>-32</v>
      </c>
      <c r="AA1035" s="11">
        <v>10</v>
      </c>
      <c r="AB1035" s="11">
        <v>28</v>
      </c>
      <c r="AC1035" s="11" t="s">
        <v>45</v>
      </c>
      <c r="AD1035" s="11">
        <v>136</v>
      </c>
      <c r="AE1035" s="11">
        <v>2.8</v>
      </c>
      <c r="AF1035" s="11" t="s">
        <v>114</v>
      </c>
      <c r="AG1035" s="11" t="s">
        <v>44</v>
      </c>
      <c r="AH1035" s="11" t="s">
        <v>49</v>
      </c>
      <c r="AI1035" s="11" t="s">
        <v>49</v>
      </c>
      <c r="AJ1035" s="11" t="s">
        <v>84</v>
      </c>
      <c r="AK1035" s="11" t="s">
        <v>44</v>
      </c>
      <c r="AL1035" s="11">
        <v>7.4</v>
      </c>
      <c r="AM1035" s="10" t="s">
        <v>44</v>
      </c>
      <c r="AN1035" s="9">
        <v>583</v>
      </c>
      <c r="AO1035" s="8" t="s">
        <v>897</v>
      </c>
      <c r="AP1035" s="8">
        <v>950</v>
      </c>
      <c r="AQ1035" s="8">
        <v>33.799999999999997</v>
      </c>
      <c r="AR1035" s="8">
        <v>37.799999999999997</v>
      </c>
      <c r="AS1035" s="8">
        <v>35.299999999999997</v>
      </c>
      <c r="AT1035" s="8">
        <v>47</v>
      </c>
      <c r="AU1035" s="8">
        <v>16.100000000000001</v>
      </c>
      <c r="AV1035" s="8" t="s">
        <v>45</v>
      </c>
      <c r="AW1035" s="8" t="s">
        <v>44</v>
      </c>
      <c r="AX1035" s="8" t="s">
        <v>44</v>
      </c>
      <c r="AY1035" s="8">
        <v>47</v>
      </c>
      <c r="AZ1035" s="8" t="s">
        <v>114</v>
      </c>
      <c r="BA1035" s="7">
        <v>0</v>
      </c>
      <c r="BB1035" s="9"/>
      <c r="BC1035" s="8" t="s">
        <v>896</v>
      </c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7"/>
    </row>
    <row r="1036" spans="1:68" ht="14.25" customHeight="1">
      <c r="A1036" s="12">
        <v>379</v>
      </c>
      <c r="B1036" s="14">
        <v>424</v>
      </c>
      <c r="C1036" s="13" t="s">
        <v>30</v>
      </c>
      <c r="D1036" s="13" t="s">
        <v>57</v>
      </c>
      <c r="E1036" s="13" t="s">
        <v>894</v>
      </c>
      <c r="F1036" s="11">
        <v>-36</v>
      </c>
      <c r="G1036" s="11">
        <v>-31.9</v>
      </c>
      <c r="H1036" s="11">
        <v>-20.6</v>
      </c>
      <c r="I1036" s="11">
        <v>-7.2</v>
      </c>
      <c r="J1036" s="11">
        <v>5</v>
      </c>
      <c r="K1036" s="11">
        <v>14.2</v>
      </c>
      <c r="L1036" s="11">
        <v>17.3</v>
      </c>
      <c r="M1036" s="11">
        <v>13.5</v>
      </c>
      <c r="N1036" s="11">
        <v>5.2</v>
      </c>
      <c r="O1036" s="11">
        <v>-7.3</v>
      </c>
      <c r="P1036" s="11">
        <v>-26</v>
      </c>
      <c r="Q1036" s="11">
        <v>-34.200000000000003</v>
      </c>
      <c r="R1036" s="10">
        <v>-9</v>
      </c>
      <c r="S1036" s="12">
        <v>424</v>
      </c>
      <c r="T1036" s="8" t="s">
        <v>894</v>
      </c>
      <c r="U1036" s="11">
        <v>-58</v>
      </c>
      <c r="V1036" s="11">
        <v>-56</v>
      </c>
      <c r="W1036" s="11">
        <v>-53</v>
      </c>
      <c r="X1036" s="11">
        <v>-52</v>
      </c>
      <c r="Y1036" s="11">
        <v>-41</v>
      </c>
      <c r="Z1036" s="11">
        <v>-62</v>
      </c>
      <c r="AA1036" s="11">
        <v>10.199999999999999</v>
      </c>
      <c r="AB1036" s="11">
        <v>217</v>
      </c>
      <c r="AC1036" s="11">
        <v>-22.3</v>
      </c>
      <c r="AD1036" s="11">
        <v>263</v>
      </c>
      <c r="AE1036" s="11">
        <v>-17.7</v>
      </c>
      <c r="AF1036" s="11">
        <v>277</v>
      </c>
      <c r="AG1036" s="11">
        <v>-16.3</v>
      </c>
      <c r="AH1036" s="11">
        <v>75</v>
      </c>
      <c r="AI1036" s="11">
        <v>75</v>
      </c>
      <c r="AJ1036" s="11">
        <v>61</v>
      </c>
      <c r="AK1036" s="11" t="s">
        <v>39</v>
      </c>
      <c r="AL1036" s="11">
        <v>3.3</v>
      </c>
      <c r="AM1036" s="10">
        <v>2.2000000000000002</v>
      </c>
      <c r="AN1036" s="9">
        <v>424</v>
      </c>
      <c r="AO1036" s="8" t="s">
        <v>895</v>
      </c>
      <c r="AP1036" s="8">
        <v>995</v>
      </c>
      <c r="AQ1036" s="8">
        <v>21.7</v>
      </c>
      <c r="AR1036" s="8">
        <v>25.9</v>
      </c>
      <c r="AS1036" s="8">
        <v>24.1</v>
      </c>
      <c r="AT1036" s="8">
        <v>36</v>
      </c>
      <c r="AU1036" s="8">
        <v>14.1</v>
      </c>
      <c r="AV1036" s="8">
        <v>66</v>
      </c>
      <c r="AW1036" s="8">
        <v>49</v>
      </c>
      <c r="AX1036" s="8">
        <v>210</v>
      </c>
      <c r="AY1036" s="8">
        <v>88</v>
      </c>
      <c r="AZ1036" s="8" t="s">
        <v>37</v>
      </c>
      <c r="BA1036" s="7">
        <v>0</v>
      </c>
      <c r="BB1036" s="9">
        <v>387</v>
      </c>
      <c r="BC1036" s="8" t="s">
        <v>894</v>
      </c>
      <c r="BD1036" s="8">
        <v>0.3</v>
      </c>
      <c r="BE1036" s="8">
        <v>0.5</v>
      </c>
      <c r="BF1036" s="8">
        <v>1.1000000000000001</v>
      </c>
      <c r="BG1036" s="8">
        <v>2.5</v>
      </c>
      <c r="BH1036" s="8">
        <v>4.8</v>
      </c>
      <c r="BI1036" s="8">
        <v>9.3000000000000007</v>
      </c>
      <c r="BJ1036" s="8">
        <v>12.5</v>
      </c>
      <c r="BK1036" s="8">
        <v>10.8</v>
      </c>
      <c r="BL1036" s="8">
        <v>6.3</v>
      </c>
      <c r="BM1036" s="8">
        <v>3.1</v>
      </c>
      <c r="BN1036" s="8">
        <v>0.9</v>
      </c>
      <c r="BO1036" s="8">
        <v>0.4</v>
      </c>
      <c r="BP1036" s="7">
        <v>4.4000000000000004</v>
      </c>
    </row>
    <row r="1037" spans="1:68" ht="14.25" customHeight="1">
      <c r="A1037" s="12">
        <v>380</v>
      </c>
      <c r="B1037" s="14">
        <v>425</v>
      </c>
      <c r="C1037" s="13" t="s">
        <v>30</v>
      </c>
      <c r="D1037" s="13" t="s">
        <v>57</v>
      </c>
      <c r="E1037" s="13" t="s">
        <v>892</v>
      </c>
      <c r="F1037" s="11">
        <v>-30</v>
      </c>
      <c r="G1037" s="11">
        <v>-26.8</v>
      </c>
      <c r="H1037" s="11">
        <v>-15.9</v>
      </c>
      <c r="I1037" s="11">
        <v>-3.5</v>
      </c>
      <c r="J1037" s="11">
        <v>6.3</v>
      </c>
      <c r="K1037" s="11">
        <v>14.9</v>
      </c>
      <c r="L1037" s="11">
        <v>18.100000000000001</v>
      </c>
      <c r="M1037" s="11">
        <v>14.5</v>
      </c>
      <c r="N1037" s="11">
        <v>6.8</v>
      </c>
      <c r="O1037" s="11">
        <v>-3.5</v>
      </c>
      <c r="P1037" s="11">
        <v>-20.100000000000001</v>
      </c>
      <c r="Q1037" s="11">
        <v>-28.6</v>
      </c>
      <c r="R1037" s="10">
        <v>-5.7</v>
      </c>
      <c r="S1037" s="12">
        <v>425</v>
      </c>
      <c r="T1037" s="8" t="s">
        <v>892</v>
      </c>
      <c r="U1037" s="11">
        <v>-56</v>
      </c>
      <c r="V1037" s="11">
        <v>-53</v>
      </c>
      <c r="W1037" s="11">
        <v>-52</v>
      </c>
      <c r="X1037" s="11">
        <v>-50</v>
      </c>
      <c r="Y1037" s="11">
        <v>-35</v>
      </c>
      <c r="Z1037" s="11">
        <v>-61</v>
      </c>
      <c r="AA1037" s="11">
        <v>9.3000000000000007</v>
      </c>
      <c r="AB1037" s="11">
        <v>203</v>
      </c>
      <c r="AC1037" s="11">
        <v>-18.8</v>
      </c>
      <c r="AD1037" s="11">
        <v>253</v>
      </c>
      <c r="AE1037" s="11">
        <v>-14.2</v>
      </c>
      <c r="AF1037" s="11">
        <v>268</v>
      </c>
      <c r="AG1037" s="11">
        <v>-12.9</v>
      </c>
      <c r="AH1037" s="11">
        <v>73</v>
      </c>
      <c r="AI1037" s="11">
        <v>73</v>
      </c>
      <c r="AJ1037" s="11">
        <v>61</v>
      </c>
      <c r="AK1037" s="11" t="s">
        <v>48</v>
      </c>
      <c r="AL1037" s="11">
        <v>5.3</v>
      </c>
      <c r="AM1037" s="10">
        <v>2.4</v>
      </c>
      <c r="AN1037" s="9">
        <v>425</v>
      </c>
      <c r="AO1037" s="8" t="s">
        <v>893</v>
      </c>
      <c r="AP1037" s="8">
        <v>985</v>
      </c>
      <c r="AQ1037" s="8">
        <v>22.5</v>
      </c>
      <c r="AR1037" s="8">
        <v>26.6</v>
      </c>
      <c r="AS1037" s="8">
        <v>24.9</v>
      </c>
      <c r="AT1037" s="8">
        <v>38</v>
      </c>
      <c r="AU1037" s="8">
        <v>13.7</v>
      </c>
      <c r="AV1037" s="8">
        <v>68</v>
      </c>
      <c r="AW1037" s="8">
        <v>52</v>
      </c>
      <c r="AX1037" s="8">
        <v>273</v>
      </c>
      <c r="AY1037" s="8">
        <v>61</v>
      </c>
      <c r="AZ1037" s="8" t="s">
        <v>43</v>
      </c>
      <c r="BA1037" s="7">
        <v>0</v>
      </c>
      <c r="BB1037" s="9">
        <v>388</v>
      </c>
      <c r="BC1037" s="8" t="s">
        <v>892</v>
      </c>
      <c r="BD1037" s="8">
        <v>0.6</v>
      </c>
      <c r="BE1037" s="8">
        <v>0.7</v>
      </c>
      <c r="BF1037" s="8">
        <v>1.4</v>
      </c>
      <c r="BG1037" s="8">
        <v>2.9</v>
      </c>
      <c r="BH1037" s="8">
        <v>5.2</v>
      </c>
      <c r="BI1037" s="8">
        <v>10.1</v>
      </c>
      <c r="BJ1037" s="8">
        <v>13.9</v>
      </c>
      <c r="BK1037" s="8">
        <v>12.2</v>
      </c>
      <c r="BL1037" s="8">
        <v>7.4</v>
      </c>
      <c r="BM1037" s="8">
        <v>3.6</v>
      </c>
      <c r="BN1037" s="8">
        <v>1.3</v>
      </c>
      <c r="BO1037" s="8">
        <v>0.7</v>
      </c>
      <c r="BP1037" s="7">
        <v>5</v>
      </c>
    </row>
    <row r="1038" spans="1:68" ht="14.25" customHeight="1">
      <c r="A1038" s="12">
        <v>381</v>
      </c>
      <c r="B1038" s="14">
        <v>373</v>
      </c>
      <c r="C1038" s="13" t="s">
        <v>30</v>
      </c>
      <c r="D1038" s="13" t="s">
        <v>193</v>
      </c>
      <c r="E1038" s="13" t="s">
        <v>889</v>
      </c>
      <c r="F1038" s="11">
        <v>-16.3</v>
      </c>
      <c r="G1038" s="11">
        <v>-14.8</v>
      </c>
      <c r="H1038" s="11">
        <v>-7.6</v>
      </c>
      <c r="I1038" s="11">
        <v>2.6</v>
      </c>
      <c r="J1038" s="11">
        <v>10</v>
      </c>
      <c r="K1038" s="11">
        <v>14.6</v>
      </c>
      <c r="L1038" s="11">
        <v>16.600000000000001</v>
      </c>
      <c r="M1038" s="11">
        <v>14.2</v>
      </c>
      <c r="N1038" s="11">
        <v>8.6</v>
      </c>
      <c r="O1038" s="11">
        <v>1.2</v>
      </c>
      <c r="P1038" s="11">
        <v>-7</v>
      </c>
      <c r="Q1038" s="11">
        <v>-14</v>
      </c>
      <c r="R1038" s="10">
        <v>0.7</v>
      </c>
      <c r="S1038" s="12">
        <v>373</v>
      </c>
      <c r="T1038" s="8" t="s">
        <v>891</v>
      </c>
      <c r="U1038" s="11">
        <v>-42</v>
      </c>
      <c r="V1038" s="11">
        <v>-40</v>
      </c>
      <c r="W1038" s="11">
        <v>-38</v>
      </c>
      <c r="X1038" s="11">
        <v>-35</v>
      </c>
      <c r="Y1038" s="11">
        <v>-22</v>
      </c>
      <c r="Z1038" s="11">
        <v>-52</v>
      </c>
      <c r="AA1038" s="11">
        <v>9.1999999999999993</v>
      </c>
      <c r="AB1038" s="11">
        <v>172</v>
      </c>
      <c r="AC1038" s="11">
        <v>-10.6</v>
      </c>
      <c r="AD1038" s="11">
        <v>229</v>
      </c>
      <c r="AE1038" s="11">
        <v>-6.8</v>
      </c>
      <c r="AF1038" s="11">
        <v>248</v>
      </c>
      <c r="AG1038" s="11">
        <v>-56</v>
      </c>
      <c r="AH1038" s="11">
        <v>81</v>
      </c>
      <c r="AI1038" s="11">
        <v>78</v>
      </c>
      <c r="AJ1038" s="11">
        <v>149</v>
      </c>
      <c r="AK1038" s="11" t="s">
        <v>39</v>
      </c>
      <c r="AL1038" s="11" t="s">
        <v>44</v>
      </c>
      <c r="AM1038" s="10">
        <v>2.7</v>
      </c>
      <c r="AN1038" s="9">
        <v>373</v>
      </c>
      <c r="AO1038" s="8" t="s">
        <v>890</v>
      </c>
      <c r="AP1038" s="8">
        <v>975</v>
      </c>
      <c r="AQ1038" s="8">
        <v>21</v>
      </c>
      <c r="AR1038" s="8">
        <v>26</v>
      </c>
      <c r="AS1038" s="8">
        <v>22.9</v>
      </c>
      <c r="AT1038" s="8">
        <v>36</v>
      </c>
      <c r="AU1038" s="8">
        <v>12.3</v>
      </c>
      <c r="AV1038" s="8">
        <v>74</v>
      </c>
      <c r="AW1038" s="8">
        <v>52</v>
      </c>
      <c r="AX1038" s="8">
        <v>415</v>
      </c>
      <c r="AY1038" s="8">
        <v>137</v>
      </c>
      <c r="AZ1038" s="8" t="s">
        <v>43</v>
      </c>
      <c r="BA1038" s="7" t="s">
        <v>46</v>
      </c>
      <c r="BB1038" s="9">
        <v>338</v>
      </c>
      <c r="BC1038" s="8" t="s">
        <v>889</v>
      </c>
      <c r="BD1038" s="8">
        <v>1.7</v>
      </c>
      <c r="BE1038" s="8">
        <v>1.9</v>
      </c>
      <c r="BF1038" s="8">
        <v>3</v>
      </c>
      <c r="BG1038" s="8">
        <v>5.2</v>
      </c>
      <c r="BH1038" s="8">
        <v>7.5</v>
      </c>
      <c r="BI1038" s="8">
        <v>11.4</v>
      </c>
      <c r="BJ1038" s="8">
        <v>14</v>
      </c>
      <c r="BK1038" s="8">
        <v>12.4</v>
      </c>
      <c r="BL1038" s="8">
        <v>8.9</v>
      </c>
      <c r="BM1038" s="8">
        <v>5.4</v>
      </c>
      <c r="BN1038" s="8">
        <v>3.4</v>
      </c>
      <c r="BO1038" s="8">
        <v>2.2000000000000002</v>
      </c>
      <c r="BP1038" s="7">
        <v>6.4</v>
      </c>
    </row>
    <row r="1039" spans="1:68" ht="14.25" customHeight="1">
      <c r="A1039" s="12">
        <v>382</v>
      </c>
      <c r="B1039" s="14">
        <v>120</v>
      </c>
      <c r="C1039" s="13" t="s">
        <v>30</v>
      </c>
      <c r="D1039" s="13" t="s">
        <v>293</v>
      </c>
      <c r="E1039" s="13" t="s">
        <v>886</v>
      </c>
      <c r="F1039" s="11">
        <v>-3.5</v>
      </c>
      <c r="G1039" s="11">
        <v>-3.8</v>
      </c>
      <c r="H1039" s="11">
        <v>-3</v>
      </c>
      <c r="I1039" s="11">
        <v>-0.8</v>
      </c>
      <c r="J1039" s="11">
        <v>2</v>
      </c>
      <c r="K1039" s="11">
        <v>5.2</v>
      </c>
      <c r="L1039" s="11">
        <v>8.6</v>
      </c>
      <c r="M1039" s="11">
        <v>10.5</v>
      </c>
      <c r="N1039" s="11">
        <v>8.9</v>
      </c>
      <c r="O1039" s="11">
        <v>4.5</v>
      </c>
      <c r="P1039" s="11">
        <v>0.1</v>
      </c>
      <c r="Q1039" s="11">
        <v>-2.5</v>
      </c>
      <c r="R1039" s="10">
        <v>2.2000000000000002</v>
      </c>
      <c r="S1039" s="12">
        <v>120</v>
      </c>
      <c r="T1039" s="8" t="s">
        <v>888</v>
      </c>
      <c r="U1039" s="11">
        <v>-15</v>
      </c>
      <c r="V1039" s="11">
        <v>-14</v>
      </c>
      <c r="W1039" s="11">
        <v>-12</v>
      </c>
      <c r="X1039" s="11">
        <v>-11</v>
      </c>
      <c r="Y1039" s="11">
        <v>-9</v>
      </c>
      <c r="Z1039" s="11">
        <v>-24</v>
      </c>
      <c r="AA1039" s="11">
        <v>4.5999999999999996</v>
      </c>
      <c r="AB1039" s="11">
        <v>158</v>
      </c>
      <c r="AC1039" s="11">
        <v>-2.5</v>
      </c>
      <c r="AD1039" s="11">
        <v>292</v>
      </c>
      <c r="AE1039" s="11">
        <v>0.4</v>
      </c>
      <c r="AF1039" s="11">
        <v>347</v>
      </c>
      <c r="AG1039" s="11">
        <v>1.8</v>
      </c>
      <c r="AH1039" s="11">
        <v>83</v>
      </c>
      <c r="AI1039" s="11">
        <v>81</v>
      </c>
      <c r="AJ1039" s="11" t="s">
        <v>84</v>
      </c>
      <c r="AK1039" s="11" t="s">
        <v>199</v>
      </c>
      <c r="AL1039" s="11">
        <v>10.1</v>
      </c>
      <c r="AM1039" s="10">
        <v>7.6</v>
      </c>
      <c r="AN1039" s="9">
        <v>120</v>
      </c>
      <c r="AO1039" s="8" t="s">
        <v>887</v>
      </c>
      <c r="AP1039" s="8">
        <v>1010</v>
      </c>
      <c r="AQ1039" s="8">
        <v>10.1</v>
      </c>
      <c r="AR1039" s="8">
        <v>14.9</v>
      </c>
      <c r="AS1039" s="8">
        <v>12.5</v>
      </c>
      <c r="AT1039" s="8">
        <v>22</v>
      </c>
      <c r="AU1039" s="8">
        <v>3.7</v>
      </c>
      <c r="AV1039" s="8">
        <v>92</v>
      </c>
      <c r="AW1039" s="8">
        <v>88</v>
      </c>
      <c r="AX1039" s="8">
        <v>292</v>
      </c>
      <c r="AY1039" s="8" t="s">
        <v>64</v>
      </c>
      <c r="AZ1039" s="8" t="s">
        <v>151</v>
      </c>
      <c r="BA1039" s="7">
        <v>7</v>
      </c>
      <c r="BB1039" s="9">
        <v>104</v>
      </c>
      <c r="BC1039" s="8" t="s">
        <v>886</v>
      </c>
      <c r="BD1039" s="8">
        <v>4.2</v>
      </c>
      <c r="BE1039" s="8">
        <v>4</v>
      </c>
      <c r="BF1039" s="8">
        <v>4.2</v>
      </c>
      <c r="BG1039" s="8">
        <v>5</v>
      </c>
      <c r="BH1039" s="8">
        <v>6.2</v>
      </c>
      <c r="BI1039" s="8">
        <v>8</v>
      </c>
      <c r="BJ1039" s="8">
        <v>10.4</v>
      </c>
      <c r="BK1039" s="8">
        <v>11.7</v>
      </c>
      <c r="BL1039" s="8">
        <v>10.1</v>
      </c>
      <c r="BM1039" s="8">
        <v>7</v>
      </c>
      <c r="BN1039" s="8">
        <v>5.0999999999999996</v>
      </c>
      <c r="BO1039" s="8">
        <v>4.4000000000000004</v>
      </c>
      <c r="BP1039" s="7">
        <v>6.7</v>
      </c>
    </row>
    <row r="1040" spans="1:68" ht="14.25" customHeight="1">
      <c r="A1040" s="12">
        <v>383</v>
      </c>
      <c r="B1040" s="14">
        <v>359</v>
      </c>
      <c r="C1040" s="13" t="s">
        <v>30</v>
      </c>
      <c r="D1040" s="13" t="s">
        <v>86</v>
      </c>
      <c r="E1040" s="13" t="s">
        <v>883</v>
      </c>
      <c r="F1040" s="11">
        <v>-26.5</v>
      </c>
      <c r="G1040" s="11">
        <v>-21.1</v>
      </c>
      <c r="H1040" s="11">
        <v>-11.4</v>
      </c>
      <c r="I1040" s="11">
        <v>1.4</v>
      </c>
      <c r="J1040" s="11">
        <v>9.6</v>
      </c>
      <c r="K1040" s="11">
        <v>16.2</v>
      </c>
      <c r="L1040" s="11">
        <v>19.8</v>
      </c>
      <c r="M1040" s="11">
        <v>17.899999999999999</v>
      </c>
      <c r="N1040" s="11">
        <v>11</v>
      </c>
      <c r="O1040" s="11">
        <v>1.1000000000000001</v>
      </c>
      <c r="P1040" s="11">
        <v>-12.6</v>
      </c>
      <c r="Q1040" s="11">
        <v>-23.6</v>
      </c>
      <c r="R1040" s="10">
        <v>-1.5</v>
      </c>
      <c r="S1040" s="12">
        <v>359</v>
      </c>
      <c r="T1040" s="8" t="s">
        <v>885</v>
      </c>
      <c r="U1040" s="11">
        <v>-40</v>
      </c>
      <c r="V1040" s="11">
        <v>-39</v>
      </c>
      <c r="W1040" s="11">
        <v>-37</v>
      </c>
      <c r="X1040" s="11">
        <v>-36</v>
      </c>
      <c r="Y1040" s="11">
        <v>-31</v>
      </c>
      <c r="Z1040" s="11">
        <v>-46</v>
      </c>
      <c r="AA1040" s="11">
        <v>13.1</v>
      </c>
      <c r="AB1040" s="11">
        <v>176</v>
      </c>
      <c r="AC1040" s="11">
        <v>-16.2</v>
      </c>
      <c r="AD1040" s="11">
        <v>227</v>
      </c>
      <c r="AE1040" s="11">
        <v>-11.5</v>
      </c>
      <c r="AF1040" s="11">
        <v>241</v>
      </c>
      <c r="AG1040" s="11">
        <v>-10.4</v>
      </c>
      <c r="AH1040" s="11">
        <v>79</v>
      </c>
      <c r="AI1040" s="11">
        <v>70</v>
      </c>
      <c r="AJ1040" s="11">
        <v>82</v>
      </c>
      <c r="AK1040" s="11" t="s">
        <v>75</v>
      </c>
      <c r="AL1040" s="11" t="s">
        <v>44</v>
      </c>
      <c r="AM1040" s="10" t="s">
        <v>44</v>
      </c>
      <c r="AN1040" s="9">
        <v>359</v>
      </c>
      <c r="AO1040" s="8" t="s">
        <v>884</v>
      </c>
      <c r="AP1040" s="8">
        <v>980</v>
      </c>
      <c r="AQ1040" s="8">
        <v>23.4</v>
      </c>
      <c r="AR1040" s="8">
        <v>27.5</v>
      </c>
      <c r="AS1040" s="8">
        <v>25.8</v>
      </c>
      <c r="AT1040" s="8">
        <v>40</v>
      </c>
      <c r="AU1040" s="8">
        <v>11.5</v>
      </c>
      <c r="AV1040" s="8">
        <v>80</v>
      </c>
      <c r="AW1040" s="8">
        <v>66</v>
      </c>
      <c r="AX1040" s="8">
        <v>687</v>
      </c>
      <c r="AY1040" s="8">
        <v>113</v>
      </c>
      <c r="AZ1040" s="8" t="s">
        <v>25</v>
      </c>
      <c r="BA1040" s="7" t="s">
        <v>46</v>
      </c>
      <c r="BB1040" s="9">
        <v>324</v>
      </c>
      <c r="BC1040" s="8" t="s">
        <v>883</v>
      </c>
      <c r="BD1040" s="8">
        <v>0.6</v>
      </c>
      <c r="BE1040" s="8">
        <v>0.9</v>
      </c>
      <c r="BF1040" s="8">
        <v>2.1</v>
      </c>
      <c r="BG1040" s="8">
        <v>4.4000000000000004</v>
      </c>
      <c r="BH1040" s="8">
        <v>7.5</v>
      </c>
      <c r="BI1040" s="8">
        <v>13.6</v>
      </c>
      <c r="BJ1040" s="8">
        <v>18.600000000000001</v>
      </c>
      <c r="BK1040" s="8">
        <v>17.3</v>
      </c>
      <c r="BL1040" s="8">
        <v>10.6</v>
      </c>
      <c r="BM1040" s="8">
        <v>4.9000000000000004</v>
      </c>
      <c r="BN1040" s="8">
        <v>2</v>
      </c>
      <c r="BO1040" s="8">
        <v>0.9</v>
      </c>
      <c r="BP1040" s="7">
        <v>7</v>
      </c>
    </row>
    <row r="1041" spans="1:68" ht="14.25" customHeight="1">
      <c r="A1041" s="12">
        <v>384</v>
      </c>
      <c r="B1041" s="14">
        <v>152</v>
      </c>
      <c r="C1041" s="13" t="s">
        <v>30</v>
      </c>
      <c r="D1041" s="13" t="s">
        <v>280</v>
      </c>
      <c r="E1041" s="13" t="s">
        <v>880</v>
      </c>
      <c r="F1041" s="11">
        <v>-14.9</v>
      </c>
      <c r="G1041" s="11">
        <v>-13</v>
      </c>
      <c r="H1041" s="11">
        <v>-6.6</v>
      </c>
      <c r="I1041" s="11">
        <v>1.7</v>
      </c>
      <c r="J1041" s="11">
        <v>8.5</v>
      </c>
      <c r="K1041" s="11">
        <v>14.4</v>
      </c>
      <c r="L1041" s="11">
        <v>16.600000000000001</v>
      </c>
      <c r="M1041" s="11">
        <v>14.3</v>
      </c>
      <c r="N1041" s="11">
        <v>8.1999999999999993</v>
      </c>
      <c r="O1041" s="11">
        <v>0.7</v>
      </c>
      <c r="P1041" s="11">
        <v>-5.7</v>
      </c>
      <c r="Q1041" s="11">
        <v>-11.6</v>
      </c>
      <c r="R1041" s="10">
        <v>1</v>
      </c>
      <c r="S1041" s="12">
        <v>152</v>
      </c>
      <c r="T1041" s="8" t="s">
        <v>882</v>
      </c>
      <c r="U1041" s="11">
        <v>-41</v>
      </c>
      <c r="V1041" s="11">
        <v>-39</v>
      </c>
      <c r="W1041" s="11">
        <v>-37</v>
      </c>
      <c r="X1041" s="11">
        <v>-34</v>
      </c>
      <c r="Y1041" s="11">
        <v>-20</v>
      </c>
      <c r="Z1041" s="11">
        <v>-47</v>
      </c>
      <c r="AA1041" s="11">
        <v>7</v>
      </c>
      <c r="AB1041" s="11">
        <v>172</v>
      </c>
      <c r="AC1041" s="11">
        <v>-8.9</v>
      </c>
      <c r="AD1041" s="11">
        <v>239</v>
      </c>
      <c r="AE1041" s="11">
        <v>-5.3</v>
      </c>
      <c r="AF1041" s="11">
        <v>259</v>
      </c>
      <c r="AG1041" s="11">
        <v>-4.2</v>
      </c>
      <c r="AH1041" s="11">
        <v>83</v>
      </c>
      <c r="AI1041" s="11">
        <v>83</v>
      </c>
      <c r="AJ1041" s="11">
        <v>182</v>
      </c>
      <c r="AK1041" s="11" t="s">
        <v>34</v>
      </c>
      <c r="AL1041" s="11" t="s">
        <v>44</v>
      </c>
      <c r="AM1041" s="10">
        <v>3.8</v>
      </c>
      <c r="AN1041" s="9">
        <v>152</v>
      </c>
      <c r="AO1041" s="8" t="s">
        <v>881</v>
      </c>
      <c r="AP1041" s="8">
        <v>990</v>
      </c>
      <c r="AQ1041" s="8">
        <v>19.899999999999999</v>
      </c>
      <c r="AR1041" s="8">
        <v>24.2</v>
      </c>
      <c r="AS1041" s="8">
        <v>22.3</v>
      </c>
      <c r="AT1041" s="8">
        <v>35</v>
      </c>
      <c r="AU1041" s="8">
        <v>11</v>
      </c>
      <c r="AV1041" s="8">
        <v>72</v>
      </c>
      <c r="AW1041" s="8">
        <v>57</v>
      </c>
      <c r="AX1041" s="8">
        <v>440</v>
      </c>
      <c r="AY1041" s="8">
        <v>73</v>
      </c>
      <c r="AZ1041" s="8" t="s">
        <v>151</v>
      </c>
      <c r="BA1041" s="7" t="s">
        <v>46</v>
      </c>
      <c r="BB1041" s="9">
        <v>132</v>
      </c>
      <c r="BC1041" s="8" t="s">
        <v>880</v>
      </c>
      <c r="BD1041" s="8">
        <v>2</v>
      </c>
      <c r="BE1041" s="8">
        <v>2.1</v>
      </c>
      <c r="BF1041" s="8">
        <v>3.1</v>
      </c>
      <c r="BG1041" s="8">
        <v>4.8</v>
      </c>
      <c r="BH1041" s="8">
        <v>7.1</v>
      </c>
      <c r="BI1041" s="8">
        <v>10.6</v>
      </c>
      <c r="BJ1041" s="8">
        <v>13.7</v>
      </c>
      <c r="BK1041" s="8">
        <v>12.4</v>
      </c>
      <c r="BL1041" s="8">
        <v>9.1999999999999993</v>
      </c>
      <c r="BM1041" s="8">
        <v>5.8</v>
      </c>
      <c r="BN1041" s="8">
        <v>3.8</v>
      </c>
      <c r="BO1041" s="8">
        <v>2.6</v>
      </c>
      <c r="BP1041" s="7">
        <v>6.4</v>
      </c>
    </row>
    <row r="1042" spans="1:68" ht="14.25" customHeight="1">
      <c r="A1042" s="12">
        <v>385</v>
      </c>
      <c r="B1042" s="14">
        <v>615</v>
      </c>
      <c r="C1042" s="13" t="s">
        <v>52</v>
      </c>
      <c r="D1042" s="13" t="s">
        <v>879</v>
      </c>
      <c r="E1042" s="13" t="s">
        <v>877</v>
      </c>
      <c r="F1042" s="11">
        <v>-6.2</v>
      </c>
      <c r="G1042" s="11">
        <v>-4.8</v>
      </c>
      <c r="H1042" s="11">
        <v>-0.1</v>
      </c>
      <c r="I1042" s="11">
        <v>7.6</v>
      </c>
      <c r="J1042" s="11">
        <v>14.2</v>
      </c>
      <c r="K1042" s="11">
        <v>17.2</v>
      </c>
      <c r="L1042" s="11">
        <v>18.100000000000001</v>
      </c>
      <c r="M1042" s="11">
        <v>17.3</v>
      </c>
      <c r="N1042" s="11">
        <v>12.8</v>
      </c>
      <c r="O1042" s="11">
        <v>7.1</v>
      </c>
      <c r="P1042" s="11">
        <v>1.5</v>
      </c>
      <c r="Q1042" s="11">
        <v>-2.9</v>
      </c>
      <c r="R1042" s="10">
        <v>6.8</v>
      </c>
      <c r="S1042" s="12">
        <v>604</v>
      </c>
      <c r="T1042" s="8" t="s">
        <v>877</v>
      </c>
      <c r="U1042" s="11">
        <v>-28</v>
      </c>
      <c r="V1042" s="11">
        <v>-25</v>
      </c>
      <c r="W1042" s="11">
        <v>-23</v>
      </c>
      <c r="X1042" s="11">
        <v>-21</v>
      </c>
      <c r="Y1042" s="11">
        <v>-8</v>
      </c>
      <c r="Z1042" s="11">
        <v>-34</v>
      </c>
      <c r="AA1042" s="11" t="s">
        <v>49</v>
      </c>
      <c r="AB1042" s="11">
        <v>111</v>
      </c>
      <c r="AC1042" s="11">
        <v>-4</v>
      </c>
      <c r="AD1042" s="11">
        <v>185</v>
      </c>
      <c r="AE1042" s="11">
        <v>-0.9</v>
      </c>
      <c r="AF1042" s="11">
        <v>202</v>
      </c>
      <c r="AG1042" s="11">
        <v>0</v>
      </c>
      <c r="AH1042" s="11" t="s">
        <v>49</v>
      </c>
      <c r="AI1042" s="11" t="s">
        <v>49</v>
      </c>
      <c r="AJ1042" s="11">
        <v>205</v>
      </c>
      <c r="AK1042" s="11" t="s">
        <v>48</v>
      </c>
      <c r="AL1042" s="11" t="s">
        <v>44</v>
      </c>
      <c r="AM1042" s="10" t="s">
        <v>44</v>
      </c>
      <c r="AN1042" s="9">
        <v>605</v>
      </c>
      <c r="AO1042" s="8" t="s">
        <v>878</v>
      </c>
      <c r="AP1042" s="8">
        <v>995</v>
      </c>
      <c r="AQ1042" s="8">
        <v>26</v>
      </c>
      <c r="AR1042" s="8">
        <v>21</v>
      </c>
      <c r="AS1042" s="8">
        <v>23.8</v>
      </c>
      <c r="AT1042" s="8">
        <v>38</v>
      </c>
      <c r="AU1042" s="8" t="s">
        <v>46</v>
      </c>
      <c r="AV1042" s="8" t="s">
        <v>45</v>
      </c>
      <c r="AW1042" s="8" t="s">
        <v>44</v>
      </c>
      <c r="AX1042" s="8" t="s">
        <v>44</v>
      </c>
      <c r="AY1042" s="8">
        <v>158</v>
      </c>
      <c r="AZ1042" s="8" t="s">
        <v>54</v>
      </c>
      <c r="BA1042" s="7">
        <v>0.9</v>
      </c>
      <c r="BB1042" s="9"/>
      <c r="BC1042" s="8" t="s">
        <v>877</v>
      </c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7"/>
    </row>
    <row r="1043" spans="1:68" ht="14.25" customHeight="1">
      <c r="A1043" s="12">
        <v>386</v>
      </c>
      <c r="B1043" s="14">
        <v>26</v>
      </c>
      <c r="C1043" s="13" t="s">
        <v>30</v>
      </c>
      <c r="D1043" s="13" t="s">
        <v>99</v>
      </c>
      <c r="E1043" s="13" t="s">
        <v>874</v>
      </c>
      <c r="F1043" s="11">
        <v>-29.3</v>
      </c>
      <c r="G1043" s="11">
        <v>-23.1</v>
      </c>
      <c r="H1043" s="11">
        <v>-13.9</v>
      </c>
      <c r="I1043" s="11">
        <v>2.2999999999999998</v>
      </c>
      <c r="J1043" s="11">
        <v>7</v>
      </c>
      <c r="K1043" s="11">
        <v>13.8</v>
      </c>
      <c r="L1043" s="11">
        <v>17.100000000000001</v>
      </c>
      <c r="M1043" s="11">
        <v>14.5</v>
      </c>
      <c r="N1043" s="11">
        <v>8</v>
      </c>
      <c r="O1043" s="11">
        <v>-3.3</v>
      </c>
      <c r="P1043" s="11">
        <v>-18</v>
      </c>
      <c r="Q1043" s="11">
        <v>-27.3</v>
      </c>
      <c r="R1043" s="10">
        <v>-4.7</v>
      </c>
      <c r="S1043" s="12">
        <v>26</v>
      </c>
      <c r="T1043" s="8" t="s">
        <v>876</v>
      </c>
      <c r="U1043" s="11">
        <v>-43</v>
      </c>
      <c r="V1043" s="11">
        <v>-41</v>
      </c>
      <c r="W1043" s="11">
        <v>-41</v>
      </c>
      <c r="X1043" s="11">
        <v>-40</v>
      </c>
      <c r="Y1043" s="11">
        <v>-34</v>
      </c>
      <c r="Z1043" s="11">
        <v>-50</v>
      </c>
      <c r="AA1043" s="11">
        <v>10.4</v>
      </c>
      <c r="AB1043" s="11">
        <v>198</v>
      </c>
      <c r="AC1043" s="11">
        <v>-17.600000000000001</v>
      </c>
      <c r="AD1043" s="11">
        <v>247</v>
      </c>
      <c r="AE1043" s="11">
        <v>-13.3</v>
      </c>
      <c r="AF1043" s="11">
        <v>265</v>
      </c>
      <c r="AG1043" s="11">
        <v>-11.7</v>
      </c>
      <c r="AH1043" s="11">
        <v>70</v>
      </c>
      <c r="AI1043" s="11">
        <v>64</v>
      </c>
      <c r="AJ1043" s="11">
        <v>64</v>
      </c>
      <c r="AK1043" s="11" t="s">
        <v>56</v>
      </c>
      <c r="AL1043" s="11">
        <v>3.2</v>
      </c>
      <c r="AM1043" s="10">
        <v>2.5</v>
      </c>
      <c r="AN1043" s="9">
        <v>26</v>
      </c>
      <c r="AO1043" s="8" t="s">
        <v>875</v>
      </c>
      <c r="AP1043" s="8">
        <v>960</v>
      </c>
      <c r="AQ1043" s="8">
        <v>21.7</v>
      </c>
      <c r="AR1043" s="8">
        <v>25.9</v>
      </c>
      <c r="AS1043" s="8">
        <v>24.1</v>
      </c>
      <c r="AT1043" s="8">
        <v>35</v>
      </c>
      <c r="AU1043" s="8">
        <v>13.7</v>
      </c>
      <c r="AV1043" s="8">
        <v>78</v>
      </c>
      <c r="AW1043" s="8">
        <v>61</v>
      </c>
      <c r="AX1043" s="8">
        <v>525</v>
      </c>
      <c r="AY1043" s="8">
        <v>96</v>
      </c>
      <c r="AZ1043" s="8" t="s">
        <v>32</v>
      </c>
      <c r="BA1043" s="7">
        <v>0</v>
      </c>
      <c r="BB1043" s="9"/>
      <c r="BC1043" s="8" t="s">
        <v>874</v>
      </c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7"/>
    </row>
    <row r="1044" spans="1:68" ht="14.25" customHeight="1">
      <c r="A1044" s="12">
        <v>387</v>
      </c>
      <c r="B1044" s="14">
        <v>629</v>
      </c>
      <c r="C1044" s="13" t="s">
        <v>52</v>
      </c>
      <c r="D1044" s="13" t="s">
        <v>660</v>
      </c>
      <c r="E1044" s="13" t="s">
        <v>872</v>
      </c>
      <c r="F1044" s="11">
        <v>-1.7</v>
      </c>
      <c r="G1044" s="11">
        <v>-1</v>
      </c>
      <c r="H1044" s="11">
        <v>2.6</v>
      </c>
      <c r="I1044" s="11">
        <v>9</v>
      </c>
      <c r="J1044" s="11">
        <v>15.5</v>
      </c>
      <c r="K1044" s="11">
        <v>19.399999999999999</v>
      </c>
      <c r="L1044" s="11">
        <v>21.4</v>
      </c>
      <c r="M1044" s="11">
        <v>21.2</v>
      </c>
      <c r="N1044" s="11">
        <v>17.100000000000001</v>
      </c>
      <c r="O1044" s="11">
        <v>11.1</v>
      </c>
      <c r="P1044" s="11">
        <v>5.9</v>
      </c>
      <c r="Q1044" s="11">
        <v>1.4</v>
      </c>
      <c r="R1044" s="10">
        <v>10.199999999999999</v>
      </c>
      <c r="S1044" s="12">
        <v>618</v>
      </c>
      <c r="T1044" s="8" t="s">
        <v>872</v>
      </c>
      <c r="U1044" s="11">
        <v>-24</v>
      </c>
      <c r="V1044" s="11">
        <v>-21</v>
      </c>
      <c r="W1044" s="11">
        <v>-20</v>
      </c>
      <c r="X1044" s="11">
        <v>-18</v>
      </c>
      <c r="Y1044" s="11">
        <v>-6</v>
      </c>
      <c r="Z1044" s="11">
        <v>-29</v>
      </c>
      <c r="AA1044" s="11" t="s">
        <v>49</v>
      </c>
      <c r="AB1044" s="11">
        <v>61</v>
      </c>
      <c r="AC1044" s="11">
        <v>-1.4</v>
      </c>
      <c r="AD1044" s="11">
        <v>158</v>
      </c>
      <c r="AE1044" s="11">
        <v>1.7</v>
      </c>
      <c r="AF1044" s="11">
        <v>178</v>
      </c>
      <c r="AG1044" s="11">
        <v>2.5</v>
      </c>
      <c r="AH1044" s="11" t="s">
        <v>49</v>
      </c>
      <c r="AI1044" s="11" t="s">
        <v>49</v>
      </c>
      <c r="AJ1044" s="11">
        <v>204</v>
      </c>
      <c r="AK1044" s="11" t="s">
        <v>56</v>
      </c>
      <c r="AL1044" s="11">
        <v>6.5</v>
      </c>
      <c r="AM1044" s="10" t="s">
        <v>44</v>
      </c>
      <c r="AN1044" s="9">
        <v>619</v>
      </c>
      <c r="AO1044" s="8" t="s">
        <v>873</v>
      </c>
      <c r="AP1044" s="8">
        <v>1010</v>
      </c>
      <c r="AQ1044" s="8">
        <v>28</v>
      </c>
      <c r="AR1044" s="8">
        <v>24</v>
      </c>
      <c r="AS1044" s="8">
        <v>25.4</v>
      </c>
      <c r="AT1044" s="8">
        <v>38</v>
      </c>
      <c r="AU1044" s="8" t="s">
        <v>46</v>
      </c>
      <c r="AV1044" s="8" t="s">
        <v>45</v>
      </c>
      <c r="AW1044" s="8" t="s">
        <v>44</v>
      </c>
      <c r="AX1044" s="8" t="s">
        <v>44</v>
      </c>
      <c r="AY1044" s="8">
        <v>103</v>
      </c>
      <c r="AZ1044" s="8" t="s">
        <v>32</v>
      </c>
      <c r="BA1044" s="7">
        <v>2.1</v>
      </c>
      <c r="BB1044" s="9"/>
      <c r="BC1044" s="8" t="s">
        <v>872</v>
      </c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7"/>
    </row>
    <row r="1045" spans="1:68" ht="14.25" customHeight="1">
      <c r="A1045" s="12">
        <v>388</v>
      </c>
      <c r="B1045" s="14">
        <v>426</v>
      </c>
      <c r="C1045" s="13" t="s">
        <v>30</v>
      </c>
      <c r="D1045" s="13" t="s">
        <v>57</v>
      </c>
      <c r="E1045" s="13" t="s">
        <v>870</v>
      </c>
      <c r="F1045" s="11">
        <v>-47.5</v>
      </c>
      <c r="G1045" s="11">
        <v>-43.3</v>
      </c>
      <c r="H1045" s="11">
        <v>-32.799999999999997</v>
      </c>
      <c r="I1045" s="11">
        <v>-15.2</v>
      </c>
      <c r="J1045" s="11">
        <v>1.2</v>
      </c>
      <c r="K1045" s="11">
        <v>11.1</v>
      </c>
      <c r="L1045" s="11">
        <v>13.6</v>
      </c>
      <c r="M1045" s="11">
        <v>10.3</v>
      </c>
      <c r="N1045" s="11">
        <v>1.6</v>
      </c>
      <c r="O1045" s="11">
        <v>-16.3</v>
      </c>
      <c r="P1045" s="11">
        <v>-37.299999999999997</v>
      </c>
      <c r="Q1045" s="11">
        <v>-45.6</v>
      </c>
      <c r="R1045" s="10">
        <v>-16.7</v>
      </c>
      <c r="S1045" s="12">
        <v>426</v>
      </c>
      <c r="T1045" s="8" t="s">
        <v>870</v>
      </c>
      <c r="U1045" s="11">
        <v>-63</v>
      </c>
      <c r="V1045" s="11">
        <v>-62</v>
      </c>
      <c r="W1045" s="11">
        <v>-61</v>
      </c>
      <c r="X1045" s="11">
        <v>-60</v>
      </c>
      <c r="Y1045" s="11">
        <v>-53</v>
      </c>
      <c r="Z1045" s="11">
        <v>-68</v>
      </c>
      <c r="AA1045" s="11">
        <v>9.3000000000000007</v>
      </c>
      <c r="AB1045" s="11">
        <v>238</v>
      </c>
      <c r="AC1045" s="11">
        <v>-30.1</v>
      </c>
      <c r="AD1045" s="11">
        <v>286</v>
      </c>
      <c r="AE1045" s="11">
        <v>-24.3</v>
      </c>
      <c r="AF1045" s="11">
        <v>299</v>
      </c>
      <c r="AG1045" s="11">
        <v>-22.8</v>
      </c>
      <c r="AH1045" s="11">
        <v>74</v>
      </c>
      <c r="AI1045" s="11">
        <v>74</v>
      </c>
      <c r="AJ1045" s="11">
        <v>48</v>
      </c>
      <c r="AK1045" s="11" t="s">
        <v>48</v>
      </c>
      <c r="AL1045" s="11">
        <v>1</v>
      </c>
      <c r="AM1045" s="10">
        <v>0.9</v>
      </c>
      <c r="AN1045" s="9">
        <v>426</v>
      </c>
      <c r="AO1045" s="8" t="s">
        <v>871</v>
      </c>
      <c r="AP1045" s="8">
        <v>920</v>
      </c>
      <c r="AQ1045" s="8">
        <v>17.899999999999999</v>
      </c>
      <c r="AR1045" s="8">
        <v>23</v>
      </c>
      <c r="AS1045" s="8">
        <v>21.6</v>
      </c>
      <c r="AT1045" s="8">
        <v>33</v>
      </c>
      <c r="AU1045" s="8">
        <v>16.7</v>
      </c>
      <c r="AV1045" s="8">
        <v>61</v>
      </c>
      <c r="AW1045" s="8">
        <v>47</v>
      </c>
      <c r="AX1045" s="8">
        <v>185</v>
      </c>
      <c r="AY1045" s="8">
        <v>39</v>
      </c>
      <c r="AZ1045" s="8" t="s">
        <v>43</v>
      </c>
      <c r="BA1045" s="7">
        <v>0</v>
      </c>
      <c r="BB1045" s="9">
        <v>389</v>
      </c>
      <c r="BC1045" s="8" t="s">
        <v>870</v>
      </c>
      <c r="BD1045" s="8">
        <v>0.1</v>
      </c>
      <c r="BE1045" s="8">
        <v>0.2</v>
      </c>
      <c r="BF1045" s="8">
        <v>0.4</v>
      </c>
      <c r="BG1045" s="8">
        <v>1.5</v>
      </c>
      <c r="BH1045" s="8">
        <v>4.2</v>
      </c>
      <c r="BI1045" s="8">
        <v>7.7</v>
      </c>
      <c r="BJ1045" s="8">
        <v>10.1</v>
      </c>
      <c r="BK1045" s="8">
        <v>8.6999999999999993</v>
      </c>
      <c r="BL1045" s="8">
        <v>5.0999999999999996</v>
      </c>
      <c r="BM1045" s="8">
        <v>1.8</v>
      </c>
      <c r="BN1045" s="8">
        <v>0.3</v>
      </c>
      <c r="BO1045" s="8">
        <v>0.1</v>
      </c>
      <c r="BP1045" s="7">
        <v>3.4</v>
      </c>
    </row>
    <row r="1046" spans="1:68" ht="14.25" customHeight="1">
      <c r="A1046" s="12">
        <v>389</v>
      </c>
      <c r="B1046" s="14">
        <v>127</v>
      </c>
      <c r="C1046" s="13" t="s">
        <v>30</v>
      </c>
      <c r="D1046" s="13" t="s">
        <v>293</v>
      </c>
      <c r="E1046" s="13" t="s">
        <v>867</v>
      </c>
      <c r="F1046" s="11">
        <v>-12.1</v>
      </c>
      <c r="G1046" s="11">
        <v>-12.6</v>
      </c>
      <c r="H1046" s="11">
        <v>-8.6999999999999993</v>
      </c>
      <c r="I1046" s="11">
        <v>-2.5</v>
      </c>
      <c r="J1046" s="11">
        <v>2.1</v>
      </c>
      <c r="K1046" s="11">
        <v>6.1</v>
      </c>
      <c r="L1046" s="11">
        <v>9.8000000000000007</v>
      </c>
      <c r="M1046" s="11">
        <v>11.4</v>
      </c>
      <c r="N1046" s="11">
        <v>9.3000000000000007</v>
      </c>
      <c r="O1046" s="11">
        <v>4.0999999999999996</v>
      </c>
      <c r="P1046" s="11">
        <v>-3</v>
      </c>
      <c r="Q1046" s="11">
        <v>-9</v>
      </c>
      <c r="R1046" s="10">
        <v>-0.4</v>
      </c>
      <c r="S1046" s="12">
        <v>127</v>
      </c>
      <c r="T1046" s="8" t="s">
        <v>869</v>
      </c>
      <c r="U1046" s="11">
        <v>-32</v>
      </c>
      <c r="V1046" s="11">
        <v>-30</v>
      </c>
      <c r="W1046" s="11">
        <v>-28</v>
      </c>
      <c r="X1046" s="11">
        <v>-25</v>
      </c>
      <c r="Y1046" s="11">
        <v>-18</v>
      </c>
      <c r="Z1046" s="11">
        <v>-42</v>
      </c>
      <c r="AA1046" s="11">
        <v>9.1999999999999993</v>
      </c>
      <c r="AB1046" s="11">
        <v>180</v>
      </c>
      <c r="AC1046" s="11">
        <v>-7.8</v>
      </c>
      <c r="AD1046" s="11">
        <v>281</v>
      </c>
      <c r="AE1046" s="11">
        <v>-3.5</v>
      </c>
      <c r="AF1046" s="11">
        <v>318</v>
      </c>
      <c r="AG1046" s="11">
        <v>-2</v>
      </c>
      <c r="AH1046" s="11">
        <v>81</v>
      </c>
      <c r="AI1046" s="11">
        <v>79</v>
      </c>
      <c r="AJ1046" s="11" t="s">
        <v>84</v>
      </c>
      <c r="AK1046" s="11" t="s">
        <v>199</v>
      </c>
      <c r="AL1046" s="11">
        <v>6.4</v>
      </c>
      <c r="AM1046" s="10">
        <v>6.8</v>
      </c>
      <c r="AN1046" s="9">
        <v>127</v>
      </c>
      <c r="AO1046" s="8" t="s">
        <v>868</v>
      </c>
      <c r="AP1046" s="8">
        <v>1010</v>
      </c>
      <c r="AQ1046" s="8">
        <v>11.5</v>
      </c>
      <c r="AR1046" s="8">
        <v>16.5</v>
      </c>
      <c r="AS1046" s="8">
        <v>13.9</v>
      </c>
      <c r="AT1046" s="8">
        <v>28</v>
      </c>
      <c r="AU1046" s="8">
        <v>4.4000000000000004</v>
      </c>
      <c r="AV1046" s="8">
        <v>93</v>
      </c>
      <c r="AW1046" s="8">
        <v>89</v>
      </c>
      <c r="AX1046" s="8">
        <v>389</v>
      </c>
      <c r="AY1046" s="8">
        <v>67</v>
      </c>
      <c r="AZ1046" s="8" t="s">
        <v>54</v>
      </c>
      <c r="BA1046" s="7">
        <v>5.2</v>
      </c>
      <c r="BB1046" s="9">
        <v>110</v>
      </c>
      <c r="BC1046" s="8" t="s">
        <v>867</v>
      </c>
      <c r="BD1046" s="8">
        <v>2.4</v>
      </c>
      <c r="BE1046" s="8">
        <v>2.2999999999999998</v>
      </c>
      <c r="BF1046" s="8">
        <v>2.9</v>
      </c>
      <c r="BG1046" s="8">
        <v>4.5</v>
      </c>
      <c r="BH1046" s="8">
        <v>6.2</v>
      </c>
      <c r="BI1046" s="8">
        <v>8.6</v>
      </c>
      <c r="BJ1046" s="8">
        <v>11.3</v>
      </c>
      <c r="BK1046" s="8">
        <v>12.4</v>
      </c>
      <c r="BL1046" s="8">
        <v>10.5</v>
      </c>
      <c r="BM1046" s="8">
        <v>7.2</v>
      </c>
      <c r="BN1046" s="8">
        <v>4.4000000000000004</v>
      </c>
      <c r="BO1046" s="8">
        <v>3</v>
      </c>
      <c r="BP1046" s="7">
        <v>6.3</v>
      </c>
    </row>
    <row r="1047" spans="1:68" ht="14.25" customHeight="1">
      <c r="A1047" s="12">
        <v>390</v>
      </c>
      <c r="B1047" s="14">
        <v>330</v>
      </c>
      <c r="C1047" s="13" t="s">
        <v>30</v>
      </c>
      <c r="D1047" s="13" t="s">
        <v>259</v>
      </c>
      <c r="E1047" s="13" t="s">
        <v>864</v>
      </c>
      <c r="F1047" s="11">
        <v>-22.8</v>
      </c>
      <c r="G1047" s="11">
        <v>-20.100000000000001</v>
      </c>
      <c r="H1047" s="11">
        <v>-10.199999999999999</v>
      </c>
      <c r="I1047" s="11">
        <v>-2.2000000000000002</v>
      </c>
      <c r="J1047" s="11">
        <v>4.7</v>
      </c>
      <c r="K1047" s="11">
        <v>12</v>
      </c>
      <c r="L1047" s="11">
        <v>16.899999999999999</v>
      </c>
      <c r="M1047" s="11">
        <v>12.6</v>
      </c>
      <c r="N1047" s="11">
        <v>7.2</v>
      </c>
      <c r="O1047" s="11">
        <v>-2.9</v>
      </c>
      <c r="P1047" s="11">
        <v>-11.7</v>
      </c>
      <c r="Q1047" s="11">
        <v>-18.100000000000001</v>
      </c>
      <c r="R1047" s="10">
        <v>-2.9</v>
      </c>
      <c r="S1047" s="12">
        <v>330</v>
      </c>
      <c r="T1047" s="8" t="s">
        <v>866</v>
      </c>
      <c r="U1047" s="11">
        <v>-47</v>
      </c>
      <c r="V1047" s="11">
        <v>-45</v>
      </c>
      <c r="W1047" s="11">
        <v>-44</v>
      </c>
      <c r="X1047" s="11">
        <v>-41</v>
      </c>
      <c r="Y1047" s="11">
        <v>-28</v>
      </c>
      <c r="Z1047" s="11">
        <v>-49</v>
      </c>
      <c r="AA1047" s="11">
        <v>8.1999999999999993</v>
      </c>
      <c r="AB1047" s="11">
        <v>200</v>
      </c>
      <c r="AC1047" s="11">
        <v>-13</v>
      </c>
      <c r="AD1047" s="11">
        <v>261</v>
      </c>
      <c r="AE1047" s="11">
        <v>-9</v>
      </c>
      <c r="AF1047" s="11">
        <v>280</v>
      </c>
      <c r="AG1047" s="11">
        <v>-7.8</v>
      </c>
      <c r="AH1047" s="11">
        <v>83</v>
      </c>
      <c r="AI1047" s="11">
        <v>83</v>
      </c>
      <c r="AJ1047" s="11">
        <v>177</v>
      </c>
      <c r="AK1047" s="11" t="s">
        <v>66</v>
      </c>
      <c r="AL1047" s="11">
        <v>5.2</v>
      </c>
      <c r="AM1047" s="10" t="s">
        <v>44</v>
      </c>
      <c r="AN1047" s="9">
        <v>330</v>
      </c>
      <c r="AO1047" s="8" t="s">
        <v>865</v>
      </c>
      <c r="AP1047" s="8">
        <v>1005</v>
      </c>
      <c r="AQ1047" s="8">
        <v>19.899999999999999</v>
      </c>
      <c r="AR1047" s="8">
        <v>24.2</v>
      </c>
      <c r="AS1047" s="8">
        <v>22.3</v>
      </c>
      <c r="AT1047" s="8">
        <v>35</v>
      </c>
      <c r="AU1047" s="8">
        <v>10</v>
      </c>
      <c r="AV1047" s="8">
        <v>70</v>
      </c>
      <c r="AW1047" s="8">
        <v>59</v>
      </c>
      <c r="AX1047" s="8">
        <v>442</v>
      </c>
      <c r="AY1047" s="8">
        <v>104</v>
      </c>
      <c r="AZ1047" s="8" t="s">
        <v>32</v>
      </c>
      <c r="BA1047" s="7">
        <v>3.4</v>
      </c>
      <c r="BB1047" s="9">
        <v>298</v>
      </c>
      <c r="BC1047" s="8" t="s">
        <v>864</v>
      </c>
      <c r="BD1047" s="8">
        <v>1.1000000000000001</v>
      </c>
      <c r="BE1047" s="8">
        <v>1.3</v>
      </c>
      <c r="BF1047" s="8">
        <v>2.4</v>
      </c>
      <c r="BG1047" s="8">
        <v>3.8</v>
      </c>
      <c r="BH1047" s="8">
        <v>5.6</v>
      </c>
      <c r="BI1047" s="8">
        <v>9.1999999999999993</v>
      </c>
      <c r="BJ1047" s="8">
        <v>13.3</v>
      </c>
      <c r="BK1047" s="8">
        <v>11.5</v>
      </c>
      <c r="BL1047" s="8">
        <v>8.6</v>
      </c>
      <c r="BM1047" s="8">
        <v>4.5999999999999996</v>
      </c>
      <c r="BN1047" s="8">
        <v>2.7</v>
      </c>
      <c r="BO1047" s="8">
        <v>1.6</v>
      </c>
      <c r="BP1047" s="7">
        <v>5.5</v>
      </c>
    </row>
    <row r="1048" spans="1:68" ht="14.25" customHeight="1">
      <c r="A1048" s="12">
        <v>391</v>
      </c>
      <c r="B1048" s="14">
        <v>427</v>
      </c>
      <c r="C1048" s="13" t="s">
        <v>30</v>
      </c>
      <c r="D1048" s="13" t="s">
        <v>57</v>
      </c>
      <c r="E1048" s="13" t="s">
        <v>862</v>
      </c>
      <c r="F1048" s="11">
        <v>-32.200000000000003</v>
      </c>
      <c r="G1048" s="11">
        <v>-28.8</v>
      </c>
      <c r="H1048" s="11">
        <v>-16.8</v>
      </c>
      <c r="I1048" s="11">
        <v>-4.2</v>
      </c>
      <c r="J1048" s="11">
        <v>6.2</v>
      </c>
      <c r="K1048" s="11">
        <v>14.6</v>
      </c>
      <c r="L1048" s="11">
        <v>18</v>
      </c>
      <c r="M1048" s="11">
        <v>14.5</v>
      </c>
      <c r="N1048" s="11">
        <v>5.9</v>
      </c>
      <c r="O1048" s="11">
        <v>-5</v>
      </c>
      <c r="P1048" s="11">
        <v>-21.6</v>
      </c>
      <c r="Q1048" s="11">
        <v>-30.8</v>
      </c>
      <c r="R1048" s="10">
        <v>-6.7</v>
      </c>
      <c r="S1048" s="12">
        <v>427</v>
      </c>
      <c r="T1048" s="8" t="s">
        <v>862</v>
      </c>
      <c r="U1048" s="11">
        <v>-55</v>
      </c>
      <c r="V1048" s="11">
        <v>-52</v>
      </c>
      <c r="W1048" s="11">
        <v>-52</v>
      </c>
      <c r="X1048" s="11">
        <v>-50</v>
      </c>
      <c r="Y1048" s="11">
        <v>-37</v>
      </c>
      <c r="Z1048" s="11">
        <v>-59</v>
      </c>
      <c r="AA1048" s="11">
        <v>7.7</v>
      </c>
      <c r="AB1048" s="11">
        <v>208</v>
      </c>
      <c r="AC1048" s="11">
        <v>-19.899999999999999</v>
      </c>
      <c r="AD1048" s="11">
        <v>256</v>
      </c>
      <c r="AE1048" s="11">
        <v>-15.3</v>
      </c>
      <c r="AF1048" s="11">
        <v>271</v>
      </c>
      <c r="AG1048" s="11">
        <v>-14</v>
      </c>
      <c r="AH1048" s="11">
        <v>78</v>
      </c>
      <c r="AI1048" s="11">
        <v>78</v>
      </c>
      <c r="AJ1048" s="11">
        <v>76</v>
      </c>
      <c r="AK1048" s="11" t="s">
        <v>39</v>
      </c>
      <c r="AL1048" s="11">
        <v>3.5</v>
      </c>
      <c r="AM1048" s="10">
        <v>2.2000000000000002</v>
      </c>
      <c r="AN1048" s="9">
        <v>427</v>
      </c>
      <c r="AO1048" s="8" t="s">
        <v>863</v>
      </c>
      <c r="AP1048" s="8">
        <v>980</v>
      </c>
      <c r="AQ1048" s="8">
        <v>21.9</v>
      </c>
      <c r="AR1048" s="8">
        <v>26</v>
      </c>
      <c r="AS1048" s="8">
        <v>25.1</v>
      </c>
      <c r="AT1048" s="8">
        <v>37</v>
      </c>
      <c r="AU1048" s="8">
        <v>13.5</v>
      </c>
      <c r="AV1048" s="8">
        <v>67</v>
      </c>
      <c r="AW1048" s="8">
        <v>63</v>
      </c>
      <c r="AX1048" s="8">
        <v>239</v>
      </c>
      <c r="AY1048" s="8">
        <v>80</v>
      </c>
      <c r="AZ1048" s="8" t="s">
        <v>37</v>
      </c>
      <c r="BA1048" s="7">
        <v>0</v>
      </c>
      <c r="BB1048" s="9">
        <v>390</v>
      </c>
      <c r="BC1048" s="8" t="s">
        <v>862</v>
      </c>
      <c r="BD1048" s="8">
        <v>0.4</v>
      </c>
      <c r="BE1048" s="8">
        <v>0.6</v>
      </c>
      <c r="BF1048" s="8">
        <v>1.3</v>
      </c>
      <c r="BG1048" s="8">
        <v>2.9</v>
      </c>
      <c r="BH1048" s="8">
        <v>5.3</v>
      </c>
      <c r="BI1048" s="8">
        <v>10.199999999999999</v>
      </c>
      <c r="BJ1048" s="8">
        <v>13.8</v>
      </c>
      <c r="BK1048" s="8">
        <v>12.2</v>
      </c>
      <c r="BL1048" s="8">
        <v>7.4</v>
      </c>
      <c r="BM1048" s="8">
        <v>3.5</v>
      </c>
      <c r="BN1048" s="8">
        <v>1.2</v>
      </c>
      <c r="BO1048" s="8">
        <v>0.6</v>
      </c>
      <c r="BP1048" s="7">
        <v>5</v>
      </c>
    </row>
    <row r="1049" spans="1:68" ht="14.25" customHeight="1">
      <c r="A1049" s="12">
        <v>392</v>
      </c>
      <c r="B1049" s="14">
        <v>428</v>
      </c>
      <c r="C1049" s="13" t="s">
        <v>30</v>
      </c>
      <c r="D1049" s="13" t="s">
        <v>57</v>
      </c>
      <c r="E1049" s="13" t="s">
        <v>860</v>
      </c>
      <c r="F1049" s="11">
        <v>-41.3</v>
      </c>
      <c r="G1049" s="11">
        <v>37.4</v>
      </c>
      <c r="H1049" s="11">
        <v>-26.5</v>
      </c>
      <c r="I1049" s="11">
        <v>-13.1</v>
      </c>
      <c r="J1049" s="11">
        <v>-1.1000000000000001</v>
      </c>
      <c r="K1049" s="11">
        <v>10.199999999999999</v>
      </c>
      <c r="L1049" s="11">
        <v>14.6</v>
      </c>
      <c r="M1049" s="11">
        <v>10</v>
      </c>
      <c r="N1049" s="11">
        <v>2.4</v>
      </c>
      <c r="O1049" s="11">
        <v>-12.1</v>
      </c>
      <c r="P1049" s="11">
        <v>-31.8</v>
      </c>
      <c r="Q1049" s="11">
        <v>-36.9</v>
      </c>
      <c r="R1049" s="10">
        <v>-13.6</v>
      </c>
      <c r="S1049" s="12">
        <v>428</v>
      </c>
      <c r="T1049" s="8" t="s">
        <v>860</v>
      </c>
      <c r="U1049" s="11">
        <v>-62</v>
      </c>
      <c r="V1049" s="11">
        <v>-59</v>
      </c>
      <c r="W1049" s="11">
        <v>-58</v>
      </c>
      <c r="X1049" s="11">
        <v>-57</v>
      </c>
      <c r="Y1049" s="11">
        <v>-46</v>
      </c>
      <c r="Z1049" s="11">
        <v>-63</v>
      </c>
      <c r="AA1049" s="11">
        <v>10</v>
      </c>
      <c r="AB1049" s="11">
        <v>240</v>
      </c>
      <c r="AC1049" s="11">
        <v>-25</v>
      </c>
      <c r="AD1049" s="11">
        <v>290</v>
      </c>
      <c r="AE1049" s="11">
        <v>-20</v>
      </c>
      <c r="AF1049" s="11">
        <v>303</v>
      </c>
      <c r="AG1049" s="11">
        <v>-18.7</v>
      </c>
      <c r="AH1049" s="11">
        <v>75</v>
      </c>
      <c r="AI1049" s="11">
        <v>75</v>
      </c>
      <c r="AJ1049" s="11">
        <v>62</v>
      </c>
      <c r="AK1049" s="11" t="s">
        <v>75</v>
      </c>
      <c r="AL1049" s="11">
        <v>2.4</v>
      </c>
      <c r="AM1049" s="10">
        <v>2.2999999999999998</v>
      </c>
      <c r="AN1049" s="9">
        <v>428</v>
      </c>
      <c r="AO1049" s="8" t="s">
        <v>861</v>
      </c>
      <c r="AP1049" s="8">
        <v>980</v>
      </c>
      <c r="AQ1049" s="8">
        <v>18.8</v>
      </c>
      <c r="AR1049" s="8">
        <v>23.4</v>
      </c>
      <c r="AS1049" s="8">
        <v>21.1</v>
      </c>
      <c r="AT1049" s="8">
        <v>36</v>
      </c>
      <c r="AU1049" s="8">
        <v>13.4</v>
      </c>
      <c r="AV1049" s="8">
        <v>63</v>
      </c>
      <c r="AW1049" s="8">
        <v>53</v>
      </c>
      <c r="AX1049" s="8">
        <v>244</v>
      </c>
      <c r="AY1049" s="8">
        <v>60</v>
      </c>
      <c r="AZ1049" s="8" t="s">
        <v>37</v>
      </c>
      <c r="BA1049" s="7">
        <v>0</v>
      </c>
      <c r="BB1049" s="9">
        <v>391</v>
      </c>
      <c r="BC1049" s="8" t="s">
        <v>860</v>
      </c>
      <c r="BD1049" s="8">
        <v>0.3</v>
      </c>
      <c r="BE1049" s="8">
        <v>0.4</v>
      </c>
      <c r="BF1049" s="8">
        <v>0.8</v>
      </c>
      <c r="BG1049" s="8">
        <v>1.8</v>
      </c>
      <c r="BH1049" s="8">
        <v>3.7</v>
      </c>
      <c r="BI1049" s="8">
        <v>7.4</v>
      </c>
      <c r="BJ1049" s="8">
        <v>10.3</v>
      </c>
      <c r="BK1049" s="8">
        <v>9</v>
      </c>
      <c r="BL1049" s="8">
        <v>5.8</v>
      </c>
      <c r="BM1049" s="8">
        <v>2.5</v>
      </c>
      <c r="BN1049" s="8">
        <v>0.6</v>
      </c>
      <c r="BO1049" s="8">
        <v>0.4</v>
      </c>
      <c r="BP1049" s="7">
        <v>3.6</v>
      </c>
    </row>
    <row r="1050" spans="1:68" ht="14.25" customHeight="1">
      <c r="A1050" s="12">
        <v>393</v>
      </c>
      <c r="B1050" s="14">
        <v>134</v>
      </c>
      <c r="C1050" s="13" t="s">
        <v>30</v>
      </c>
      <c r="D1050" s="13" t="s">
        <v>599</v>
      </c>
      <c r="E1050" s="13" t="s">
        <v>857</v>
      </c>
      <c r="F1050" s="11">
        <v>-10.3</v>
      </c>
      <c r="G1050" s="11">
        <v>-10.5</v>
      </c>
      <c r="H1050" s="11">
        <v>-6.3</v>
      </c>
      <c r="I1050" s="11">
        <v>1.3</v>
      </c>
      <c r="J1050" s="11">
        <v>8.6</v>
      </c>
      <c r="K1050" s="11">
        <v>13.6</v>
      </c>
      <c r="L1050" s="11">
        <v>16.399999999999999</v>
      </c>
      <c r="M1050" s="11">
        <v>14.7</v>
      </c>
      <c r="N1050" s="11">
        <v>9.3000000000000007</v>
      </c>
      <c r="O1050" s="11">
        <v>3.4</v>
      </c>
      <c r="P1050" s="11">
        <v>-1.8</v>
      </c>
      <c r="Q1050" s="11">
        <v>-7.1</v>
      </c>
      <c r="R1050" s="10">
        <v>2.6</v>
      </c>
      <c r="S1050" s="12">
        <v>134</v>
      </c>
      <c r="T1050" s="8" t="s">
        <v>859</v>
      </c>
      <c r="U1050" s="11">
        <v>-38</v>
      </c>
      <c r="V1050" s="11">
        <v>-35</v>
      </c>
      <c r="W1050" s="11">
        <v>-34</v>
      </c>
      <c r="X1050" s="11">
        <v>-29</v>
      </c>
      <c r="Y1050" s="11">
        <v>-15</v>
      </c>
      <c r="Z1050" s="11">
        <v>-54</v>
      </c>
      <c r="AA1050" s="11">
        <v>8.4</v>
      </c>
      <c r="AB1050" s="11">
        <v>156</v>
      </c>
      <c r="AC1050" s="11">
        <v>-6.7</v>
      </c>
      <c r="AD1050" s="11">
        <v>233</v>
      </c>
      <c r="AE1050" s="11">
        <v>-3.2</v>
      </c>
      <c r="AF1050" s="11">
        <v>255</v>
      </c>
      <c r="AG1050" s="11">
        <v>-2.1</v>
      </c>
      <c r="AH1050" s="11">
        <v>86</v>
      </c>
      <c r="AI1050" s="11">
        <v>86</v>
      </c>
      <c r="AJ1050" s="11">
        <v>215</v>
      </c>
      <c r="AK1050" s="11" t="s">
        <v>39</v>
      </c>
      <c r="AL1050" s="11">
        <v>6.5</v>
      </c>
      <c r="AM1050" s="10">
        <v>4.2</v>
      </c>
      <c r="AN1050" s="9">
        <v>134</v>
      </c>
      <c r="AO1050" s="8" t="s">
        <v>858</v>
      </c>
      <c r="AP1050" s="8">
        <v>1010</v>
      </c>
      <c r="AQ1050" s="8">
        <v>19.7</v>
      </c>
      <c r="AR1050" s="8">
        <v>24</v>
      </c>
      <c r="AS1050" s="8">
        <v>29.1</v>
      </c>
      <c r="AT1050" s="8">
        <v>36</v>
      </c>
      <c r="AU1050" s="8">
        <v>11.6</v>
      </c>
      <c r="AV1050" s="8">
        <v>74</v>
      </c>
      <c r="AW1050" s="8">
        <v>59</v>
      </c>
      <c r="AX1050" s="8">
        <v>647</v>
      </c>
      <c r="AY1050" s="8">
        <v>97</v>
      </c>
      <c r="AZ1050" s="8" t="s">
        <v>82</v>
      </c>
      <c r="BA1050" s="7">
        <v>3.1</v>
      </c>
      <c r="BB1050" s="9">
        <v>117</v>
      </c>
      <c r="BC1050" s="8" t="s">
        <v>857</v>
      </c>
      <c r="BD1050" s="8">
        <v>2.9</v>
      </c>
      <c r="BE1050" s="8">
        <v>2.8</v>
      </c>
      <c r="BF1050" s="8">
        <v>3.4</v>
      </c>
      <c r="BG1050" s="8">
        <v>5.3</v>
      </c>
      <c r="BH1050" s="8">
        <v>7.5</v>
      </c>
      <c r="BI1050" s="8">
        <v>11.2</v>
      </c>
      <c r="BJ1050" s="8">
        <v>13.9</v>
      </c>
      <c r="BK1050" s="8">
        <v>13.5</v>
      </c>
      <c r="BL1050" s="8">
        <v>10.199999999999999</v>
      </c>
      <c r="BM1050" s="8">
        <v>7</v>
      </c>
      <c r="BN1050" s="8">
        <v>5.2</v>
      </c>
      <c r="BO1050" s="8">
        <v>3.7</v>
      </c>
      <c r="BP1050" s="7">
        <v>7.2</v>
      </c>
    </row>
    <row r="1051" spans="1:68" ht="14.25" customHeight="1">
      <c r="A1051" s="12">
        <v>394</v>
      </c>
      <c r="B1051" s="14">
        <v>396</v>
      </c>
      <c r="C1051" s="13" t="s">
        <v>30</v>
      </c>
      <c r="D1051" s="13" t="s">
        <v>80</v>
      </c>
      <c r="E1051" s="13" t="s">
        <v>854</v>
      </c>
      <c r="F1051" s="11">
        <v>-36.4</v>
      </c>
      <c r="G1051" s="11">
        <v>-35.6</v>
      </c>
      <c r="H1051" s="11">
        <v>-28.2</v>
      </c>
      <c r="I1051" s="11">
        <v>-14.6</v>
      </c>
      <c r="J1051" s="11">
        <v>1.1000000000000001</v>
      </c>
      <c r="K1051" s="11">
        <v>11.6</v>
      </c>
      <c r="L1051" s="11">
        <v>13.2</v>
      </c>
      <c r="M1051" s="11">
        <v>9.9</v>
      </c>
      <c r="N1051" s="11">
        <v>2.5</v>
      </c>
      <c r="O1051" s="11">
        <v>-12.1</v>
      </c>
      <c r="P1051" s="11">
        <v>-28.8</v>
      </c>
      <c r="Q1051" s="11">
        <v>-36.200000000000003</v>
      </c>
      <c r="R1051" s="10">
        <v>-12.8</v>
      </c>
      <c r="S1051" s="12">
        <v>396</v>
      </c>
      <c r="T1051" s="8" t="s">
        <v>856</v>
      </c>
      <c r="U1051" s="11">
        <v>-56</v>
      </c>
      <c r="V1051" s="11">
        <v>-53</v>
      </c>
      <c r="W1051" s="11">
        <v>-50</v>
      </c>
      <c r="X1051" s="11">
        <v>-47</v>
      </c>
      <c r="Y1051" s="11">
        <v>-37</v>
      </c>
      <c r="Z1051" s="11">
        <v>-61</v>
      </c>
      <c r="AA1051" s="11">
        <v>9.6</v>
      </c>
      <c r="AB1051" s="11">
        <v>232</v>
      </c>
      <c r="AC1051" s="11">
        <v>-25.2</v>
      </c>
      <c r="AD1051" s="11">
        <v>283</v>
      </c>
      <c r="AE1051" s="11">
        <v>-19.8</v>
      </c>
      <c r="AF1051" s="11">
        <v>299</v>
      </c>
      <c r="AG1051" s="11">
        <v>-18.3</v>
      </c>
      <c r="AH1051" s="11">
        <v>75</v>
      </c>
      <c r="AI1051" s="11">
        <v>74</v>
      </c>
      <c r="AJ1051" s="11">
        <v>88</v>
      </c>
      <c r="AK1051" s="11" t="s">
        <v>75</v>
      </c>
      <c r="AL1051" s="11">
        <v>4.2</v>
      </c>
      <c r="AM1051" s="10">
        <v>1.6</v>
      </c>
      <c r="AN1051" s="9">
        <v>396</v>
      </c>
      <c r="AO1051" s="8" t="s">
        <v>855</v>
      </c>
      <c r="AP1051" s="8">
        <v>980</v>
      </c>
      <c r="AQ1051" s="8">
        <v>16</v>
      </c>
      <c r="AR1051" s="8">
        <v>20</v>
      </c>
      <c r="AS1051" s="8">
        <v>19.399999999999999</v>
      </c>
      <c r="AT1051" s="8">
        <v>32</v>
      </c>
      <c r="AU1051" s="8">
        <v>12.7</v>
      </c>
      <c r="AV1051" s="8">
        <v>68</v>
      </c>
      <c r="AW1051" s="8">
        <v>55</v>
      </c>
      <c r="AX1051" s="8">
        <v>193</v>
      </c>
      <c r="AY1051" s="8">
        <v>32</v>
      </c>
      <c r="AZ1051" s="8" t="s">
        <v>54</v>
      </c>
      <c r="BA1051" s="7">
        <v>0</v>
      </c>
      <c r="BB1051" s="9">
        <v>360</v>
      </c>
      <c r="BC1051" s="8" t="s">
        <v>854</v>
      </c>
      <c r="BD1051" s="8">
        <v>0.4</v>
      </c>
      <c r="BE1051" s="8">
        <v>0.4</v>
      </c>
      <c r="BF1051" s="8">
        <v>0.6</v>
      </c>
      <c r="BG1051" s="8">
        <v>1.7</v>
      </c>
      <c r="BH1051" s="8">
        <v>4.4000000000000004</v>
      </c>
      <c r="BI1051" s="8">
        <v>7.9</v>
      </c>
      <c r="BJ1051" s="8">
        <v>10.1</v>
      </c>
      <c r="BK1051" s="8">
        <v>8.9</v>
      </c>
      <c r="BL1051" s="8">
        <v>5.6</v>
      </c>
      <c r="BM1051" s="8">
        <v>2.2999999999999998</v>
      </c>
      <c r="BN1051" s="8">
        <v>0.7</v>
      </c>
      <c r="BO1051" s="8">
        <v>0.4</v>
      </c>
      <c r="BP1051" s="7">
        <v>3.6</v>
      </c>
    </row>
    <row r="1052" spans="1:68" ht="14.25" customHeight="1">
      <c r="A1052" s="12">
        <v>395</v>
      </c>
      <c r="B1052" s="14">
        <v>242</v>
      </c>
      <c r="C1052" s="13" t="s">
        <v>30</v>
      </c>
      <c r="D1052" s="13" t="s">
        <v>181</v>
      </c>
      <c r="E1052" s="13" t="s">
        <v>851</v>
      </c>
      <c r="F1052" s="11">
        <v>-19</v>
      </c>
      <c r="G1052" s="11">
        <v>-17.600000000000001</v>
      </c>
      <c r="H1052" s="11">
        <v>-10.1</v>
      </c>
      <c r="I1052" s="11">
        <v>2.8</v>
      </c>
      <c r="J1052" s="11">
        <v>11.4</v>
      </c>
      <c r="K1052" s="11">
        <v>17.100000000000001</v>
      </c>
      <c r="L1052" s="11">
        <v>18.899999999999999</v>
      </c>
      <c r="M1052" s="11">
        <v>15.8</v>
      </c>
      <c r="N1052" s="11">
        <v>10.6</v>
      </c>
      <c r="O1052" s="11">
        <v>1.9</v>
      </c>
      <c r="P1052" s="11">
        <v>-8.5</v>
      </c>
      <c r="Q1052" s="11">
        <v>-16</v>
      </c>
      <c r="R1052" s="10">
        <v>0.6</v>
      </c>
      <c r="S1052" s="12">
        <v>242</v>
      </c>
      <c r="T1052" s="8" t="s">
        <v>853</v>
      </c>
      <c r="U1052" s="11">
        <v>-42</v>
      </c>
      <c r="V1052" s="11">
        <v>-41</v>
      </c>
      <c r="W1052" s="11">
        <v>-39</v>
      </c>
      <c r="X1052" s="11">
        <v>-37</v>
      </c>
      <c r="Y1052" s="11">
        <v>-24</v>
      </c>
      <c r="Z1052" s="11">
        <v>-49</v>
      </c>
      <c r="AA1052" s="11">
        <v>8.8000000000000007</v>
      </c>
      <c r="AB1052" s="11">
        <v>169</v>
      </c>
      <c r="AC1052" s="11">
        <v>-12.3</v>
      </c>
      <c r="AD1052" s="11">
        <v>221</v>
      </c>
      <c r="AE1052" s="11">
        <v>-8.4</v>
      </c>
      <c r="AF1052" s="11">
        <v>235</v>
      </c>
      <c r="AG1052" s="11">
        <v>-7.4</v>
      </c>
      <c r="AH1052" s="11">
        <v>80</v>
      </c>
      <c r="AI1052" s="11">
        <v>80</v>
      </c>
      <c r="AJ1052" s="11">
        <v>79</v>
      </c>
      <c r="AK1052" s="11" t="s">
        <v>39</v>
      </c>
      <c r="AL1052" s="11">
        <v>5.0999999999999996</v>
      </c>
      <c r="AM1052" s="10">
        <v>5</v>
      </c>
      <c r="AN1052" s="9">
        <v>242</v>
      </c>
      <c r="AO1052" s="8" t="s">
        <v>852</v>
      </c>
      <c r="AP1052" s="8">
        <v>995</v>
      </c>
      <c r="AQ1052" s="8">
        <v>23.3</v>
      </c>
      <c r="AR1052" s="8">
        <v>27.7</v>
      </c>
      <c r="AS1052" s="8">
        <v>25</v>
      </c>
      <c r="AT1052" s="8">
        <v>40</v>
      </c>
      <c r="AU1052" s="8">
        <v>8</v>
      </c>
      <c r="AV1052" s="8">
        <v>68</v>
      </c>
      <c r="AW1052" s="8">
        <v>52</v>
      </c>
      <c r="AX1052" s="8">
        <v>296</v>
      </c>
      <c r="AY1052" s="8">
        <v>75</v>
      </c>
      <c r="AZ1052" s="8" t="s">
        <v>54</v>
      </c>
      <c r="BA1052" s="7">
        <v>3.7</v>
      </c>
      <c r="BB1052" s="9">
        <v>213</v>
      </c>
      <c r="BC1052" s="8" t="s">
        <v>851</v>
      </c>
      <c r="BD1052" s="8">
        <v>1.4</v>
      </c>
      <c r="BE1052" s="8">
        <v>1.5</v>
      </c>
      <c r="BF1052" s="8">
        <v>2.6</v>
      </c>
      <c r="BG1052" s="8">
        <v>5.3</v>
      </c>
      <c r="BH1052" s="8">
        <v>7.1</v>
      </c>
      <c r="BI1052" s="8">
        <v>11.1</v>
      </c>
      <c r="BJ1052" s="8">
        <v>14.5</v>
      </c>
      <c r="BK1052" s="8">
        <v>12.7</v>
      </c>
      <c r="BL1052" s="8">
        <v>8.8000000000000007</v>
      </c>
      <c r="BM1052" s="8">
        <v>5.3</v>
      </c>
      <c r="BN1052" s="8">
        <v>3.1</v>
      </c>
      <c r="BO1052" s="8">
        <v>1.9</v>
      </c>
      <c r="BP1052" s="7">
        <v>6.3</v>
      </c>
    </row>
    <row r="1053" spans="1:68" ht="14.25" customHeight="1">
      <c r="A1053" s="12">
        <v>396</v>
      </c>
      <c r="B1053" s="14">
        <v>204</v>
      </c>
      <c r="C1053" s="13" t="s">
        <v>30</v>
      </c>
      <c r="D1053" s="13" t="s">
        <v>537</v>
      </c>
      <c r="E1053" s="13" t="s">
        <v>848</v>
      </c>
      <c r="F1053" s="11">
        <v>-33.4</v>
      </c>
      <c r="G1053" s="11">
        <v>-31</v>
      </c>
      <c r="H1053" s="11">
        <v>-24.3</v>
      </c>
      <c r="I1053" s="11">
        <v>-12.4</v>
      </c>
      <c r="J1053" s="11">
        <v>0.8</v>
      </c>
      <c r="K1053" s="11">
        <v>10.1</v>
      </c>
      <c r="L1053" s="11">
        <v>13.2</v>
      </c>
      <c r="M1053" s="11">
        <v>10.6</v>
      </c>
      <c r="N1053" s="11">
        <v>3.1</v>
      </c>
      <c r="O1053" s="11">
        <v>-11.3</v>
      </c>
      <c r="P1053" s="11">
        <v>-26.5</v>
      </c>
      <c r="Q1053" s="11">
        <v>-32.5</v>
      </c>
      <c r="R1053" s="10">
        <v>-11.1</v>
      </c>
      <c r="S1053" s="12">
        <v>204</v>
      </c>
      <c r="T1053" s="8" t="s">
        <v>850</v>
      </c>
      <c r="U1053" s="11">
        <v>-56</v>
      </c>
      <c r="V1053" s="11">
        <v>-53</v>
      </c>
      <c r="W1053" s="11">
        <v>-54</v>
      </c>
      <c r="X1053" s="11">
        <v>-50</v>
      </c>
      <c r="Y1053" s="11">
        <v>-38</v>
      </c>
      <c r="Z1053" s="11">
        <v>-56</v>
      </c>
      <c r="AA1053" s="11">
        <v>8</v>
      </c>
      <c r="AB1053" s="11">
        <v>234</v>
      </c>
      <c r="AC1053" s="11">
        <v>-21.9</v>
      </c>
      <c r="AD1053" s="11">
        <v>286</v>
      </c>
      <c r="AE1053" s="11">
        <v>-17.2</v>
      </c>
      <c r="AF1053" s="11">
        <v>301</v>
      </c>
      <c r="AG1053" s="11">
        <v>-15.9</v>
      </c>
      <c r="AH1053" s="11">
        <v>74</v>
      </c>
      <c r="AI1053" s="11">
        <v>74</v>
      </c>
      <c r="AJ1053" s="11">
        <v>80</v>
      </c>
      <c r="AK1053" s="11" t="s">
        <v>199</v>
      </c>
      <c r="AL1053" s="11">
        <v>6.9</v>
      </c>
      <c r="AM1053" s="10">
        <v>2.8</v>
      </c>
      <c r="AN1053" s="9">
        <v>204</v>
      </c>
      <c r="AO1053" s="8" t="s">
        <v>849</v>
      </c>
      <c r="AP1053" s="8">
        <v>960</v>
      </c>
      <c r="AQ1053" s="8">
        <v>17.100000000000001</v>
      </c>
      <c r="AR1053" s="8">
        <v>21.5</v>
      </c>
      <c r="AS1053" s="8">
        <v>19.5</v>
      </c>
      <c r="AT1053" s="8">
        <v>33</v>
      </c>
      <c r="AU1053" s="8">
        <v>12.6</v>
      </c>
      <c r="AV1053" s="8">
        <v>65</v>
      </c>
      <c r="AW1053" s="8">
        <v>51</v>
      </c>
      <c r="AX1053" s="8">
        <v>217</v>
      </c>
      <c r="AY1053" s="8">
        <v>32</v>
      </c>
      <c r="AZ1053" s="8" t="s">
        <v>82</v>
      </c>
      <c r="BA1053" s="7">
        <v>0</v>
      </c>
      <c r="BB1053" s="9">
        <v>179</v>
      </c>
      <c r="BC1053" s="8" t="s">
        <v>848</v>
      </c>
      <c r="BD1053" s="8">
        <v>0.4</v>
      </c>
      <c r="BE1053" s="8">
        <v>0.5</v>
      </c>
      <c r="BF1053" s="8">
        <v>0.8</v>
      </c>
      <c r="BG1053" s="8">
        <v>1.8</v>
      </c>
      <c r="BH1053" s="8">
        <v>4.2</v>
      </c>
      <c r="BI1053" s="8">
        <v>7.2</v>
      </c>
      <c r="BJ1053" s="8">
        <v>9.6</v>
      </c>
      <c r="BK1053" s="8">
        <v>8.6999999999999993</v>
      </c>
      <c r="BL1053" s="8">
        <v>5.5</v>
      </c>
      <c r="BM1053" s="8">
        <v>2.2999999999999998</v>
      </c>
      <c r="BN1053" s="8">
        <v>0.7</v>
      </c>
      <c r="BO1053" s="8">
        <v>0.5</v>
      </c>
      <c r="BP1053" s="7">
        <v>3.5</v>
      </c>
    </row>
    <row r="1054" spans="1:68" ht="14.25" customHeight="1">
      <c r="A1054" s="12">
        <v>397</v>
      </c>
      <c r="B1054" s="14">
        <v>9</v>
      </c>
      <c r="C1054" s="13" t="s">
        <v>30</v>
      </c>
      <c r="D1054" s="13" t="s">
        <v>438</v>
      </c>
      <c r="E1054" s="13" t="s">
        <v>845</v>
      </c>
      <c r="F1054" s="11">
        <v>-21.1</v>
      </c>
      <c r="G1054" s="11">
        <v>-17.5</v>
      </c>
      <c r="H1054" s="11">
        <v>-7.2</v>
      </c>
      <c r="I1054" s="11">
        <v>3.5</v>
      </c>
      <c r="J1054" s="11">
        <v>10</v>
      </c>
      <c r="K1054" s="11">
        <v>14.9</v>
      </c>
      <c r="L1054" s="11">
        <v>16.3</v>
      </c>
      <c r="M1054" s="11">
        <v>13.9</v>
      </c>
      <c r="N1054" s="11">
        <v>8.5</v>
      </c>
      <c r="O1054" s="11">
        <v>1.1000000000000001</v>
      </c>
      <c r="P1054" s="11">
        <v>-10.1</v>
      </c>
      <c r="Q1054" s="11">
        <v>-18.3</v>
      </c>
      <c r="R1054" s="10">
        <v>-0.5</v>
      </c>
      <c r="S1054" s="12">
        <v>9</v>
      </c>
      <c r="T1054" s="8" t="s">
        <v>847</v>
      </c>
      <c r="U1054" s="11">
        <v>-42</v>
      </c>
      <c r="V1054" s="11">
        <v>-41</v>
      </c>
      <c r="W1054" s="11">
        <v>-40</v>
      </c>
      <c r="X1054" s="11">
        <v>-38</v>
      </c>
      <c r="Y1054" s="11">
        <v>-26</v>
      </c>
      <c r="Z1054" s="11">
        <v>-46</v>
      </c>
      <c r="AA1054" s="11">
        <v>11.1</v>
      </c>
      <c r="AB1054" s="11">
        <v>168</v>
      </c>
      <c r="AC1054" s="11">
        <v>-13</v>
      </c>
      <c r="AD1054" s="11">
        <v>231</v>
      </c>
      <c r="AE1054" s="11">
        <v>-8.3000000000000007</v>
      </c>
      <c r="AF1054" s="11">
        <v>249</v>
      </c>
      <c r="AG1054" s="11">
        <v>-7.3</v>
      </c>
      <c r="AH1054" s="11">
        <v>79</v>
      </c>
      <c r="AI1054" s="11">
        <v>71</v>
      </c>
      <c r="AJ1054" s="11">
        <v>46</v>
      </c>
      <c r="AK1054" s="11" t="s">
        <v>48</v>
      </c>
      <c r="AL1054" s="11">
        <v>2.2999999999999998</v>
      </c>
      <c r="AM1054" s="10">
        <v>9.1</v>
      </c>
      <c r="AN1054" s="9">
        <v>9</v>
      </c>
      <c r="AO1054" s="8" t="s">
        <v>846</v>
      </c>
      <c r="AP1054" s="8">
        <v>930</v>
      </c>
      <c r="AQ1054" s="8">
        <v>22.2</v>
      </c>
      <c r="AR1054" s="8">
        <v>26.4</v>
      </c>
      <c r="AS1054" s="8">
        <v>24.6</v>
      </c>
      <c r="AT1054" s="8">
        <v>38</v>
      </c>
      <c r="AU1054" s="8">
        <v>15.3</v>
      </c>
      <c r="AV1054" s="8">
        <v>71</v>
      </c>
      <c r="AW1054" s="8">
        <v>50</v>
      </c>
      <c r="AX1054" s="8">
        <v>334</v>
      </c>
      <c r="AY1054" s="8">
        <v>52</v>
      </c>
      <c r="AZ1054" s="8" t="s">
        <v>43</v>
      </c>
      <c r="BA1054" s="7">
        <v>0</v>
      </c>
      <c r="BB1054" s="9">
        <v>12</v>
      </c>
      <c r="BC1054" s="8" t="s">
        <v>845</v>
      </c>
      <c r="BD1054" s="8">
        <v>1.1000000000000001</v>
      </c>
      <c r="BE1054" s="8">
        <v>1.4</v>
      </c>
      <c r="BF1054" s="8">
        <v>2.6</v>
      </c>
      <c r="BG1054" s="8">
        <v>4.3</v>
      </c>
      <c r="BH1054" s="8">
        <v>6.6</v>
      </c>
      <c r="BI1054" s="8">
        <v>10.199999999999999</v>
      </c>
      <c r="BJ1054" s="8">
        <v>12.4</v>
      </c>
      <c r="BK1054" s="8">
        <v>11</v>
      </c>
      <c r="BL1054" s="8">
        <v>7.3</v>
      </c>
      <c r="BM1054" s="8">
        <v>4.4000000000000004</v>
      </c>
      <c r="BN1054" s="8">
        <v>2.4</v>
      </c>
      <c r="BO1054" s="8">
        <v>1.4</v>
      </c>
      <c r="BP1054" s="7">
        <v>5.4</v>
      </c>
    </row>
    <row r="1055" spans="1:68" ht="14.25" customHeight="1">
      <c r="A1055" s="12">
        <v>398</v>
      </c>
      <c r="B1055" s="14">
        <v>44</v>
      </c>
      <c r="C1055" s="13" t="s">
        <v>30</v>
      </c>
      <c r="D1055" s="13" t="s">
        <v>844</v>
      </c>
      <c r="E1055" s="13" t="s">
        <v>841</v>
      </c>
      <c r="F1055" s="11">
        <v>-12</v>
      </c>
      <c r="G1055" s="11">
        <v>-11.6</v>
      </c>
      <c r="H1055" s="11">
        <v>-7.2</v>
      </c>
      <c r="I1055" s="11">
        <v>0.1</v>
      </c>
      <c r="J1055" s="11">
        <v>6.4</v>
      </c>
      <c r="K1055" s="11">
        <v>12.7</v>
      </c>
      <c r="L1055" s="11">
        <v>15.9</v>
      </c>
      <c r="M1055" s="11">
        <v>13.9</v>
      </c>
      <c r="N1055" s="11">
        <v>8.4</v>
      </c>
      <c r="O1055" s="11">
        <v>1.9</v>
      </c>
      <c r="P1055" s="11">
        <v>-3.6</v>
      </c>
      <c r="Q1055" s="11">
        <v>9</v>
      </c>
      <c r="R1055" s="10">
        <v>1.3</v>
      </c>
      <c r="S1055" s="12">
        <v>44</v>
      </c>
      <c r="T1055" s="8" t="s">
        <v>843</v>
      </c>
      <c r="U1055" s="11">
        <v>-38</v>
      </c>
      <c r="V1055" s="11">
        <v>-36</v>
      </c>
      <c r="W1055" s="11">
        <v>-35</v>
      </c>
      <c r="X1055" s="11">
        <v>-31</v>
      </c>
      <c r="Y1055" s="11">
        <v>-17</v>
      </c>
      <c r="Z1055" s="11">
        <v>-43</v>
      </c>
      <c r="AA1055" s="11">
        <v>7.3</v>
      </c>
      <c r="AB1055" s="11">
        <v>170</v>
      </c>
      <c r="AC1055" s="11">
        <v>-7.5</v>
      </c>
      <c r="AD1055" s="11">
        <v>248</v>
      </c>
      <c r="AE1055" s="11">
        <v>-3.9</v>
      </c>
      <c r="AF1055" s="11">
        <v>269</v>
      </c>
      <c r="AG1055" s="11">
        <v>-3</v>
      </c>
      <c r="AH1055" s="11">
        <v>85</v>
      </c>
      <c r="AI1055" s="11">
        <v>84</v>
      </c>
      <c r="AJ1055" s="11">
        <v>200</v>
      </c>
      <c r="AK1055" s="11" t="s">
        <v>27</v>
      </c>
      <c r="AL1055" s="11">
        <v>4.5999999999999996</v>
      </c>
      <c r="AM1055" s="10">
        <v>3.4</v>
      </c>
      <c r="AN1055" s="9">
        <v>44</v>
      </c>
      <c r="AO1055" s="8" t="s">
        <v>842</v>
      </c>
      <c r="AP1055" s="8">
        <v>1010</v>
      </c>
      <c r="AQ1055" s="8">
        <v>19.7</v>
      </c>
      <c r="AR1055" s="8">
        <v>24.5</v>
      </c>
      <c r="AS1055" s="8">
        <v>21.2</v>
      </c>
      <c r="AT1055" s="8">
        <v>36</v>
      </c>
      <c r="AU1055" s="8">
        <v>10.1</v>
      </c>
      <c r="AV1055" s="8">
        <v>71</v>
      </c>
      <c r="AW1055" s="8">
        <v>58</v>
      </c>
      <c r="AX1055" s="8">
        <v>408</v>
      </c>
      <c r="AY1055" s="8">
        <v>72</v>
      </c>
      <c r="AZ1055" s="8" t="s">
        <v>54</v>
      </c>
      <c r="BA1055" s="7">
        <v>2.7</v>
      </c>
      <c r="BB1055" s="9">
        <v>30</v>
      </c>
      <c r="BC1055" s="8" t="s">
        <v>841</v>
      </c>
      <c r="BD1055" s="8">
        <v>2.5</v>
      </c>
      <c r="BE1055" s="8">
        <v>2.5</v>
      </c>
      <c r="BF1055" s="8">
        <v>3.2</v>
      </c>
      <c r="BG1055" s="8">
        <v>4.7</v>
      </c>
      <c r="BH1055" s="8">
        <v>6.6</v>
      </c>
      <c r="BI1055" s="8">
        <v>10.199999999999999</v>
      </c>
      <c r="BJ1055" s="8">
        <v>12.9</v>
      </c>
      <c r="BK1055" s="8">
        <v>12.6</v>
      </c>
      <c r="BL1055" s="8">
        <v>9.4</v>
      </c>
      <c r="BM1055" s="8">
        <v>6.3</v>
      </c>
      <c r="BN1055" s="8">
        <v>4.5</v>
      </c>
      <c r="BO1055" s="8">
        <v>3.3</v>
      </c>
      <c r="BP1055" s="7">
        <v>6.6</v>
      </c>
    </row>
    <row r="1056" spans="1:68" ht="14.25" customHeight="1">
      <c r="A1056" s="12">
        <v>399</v>
      </c>
      <c r="B1056" s="14">
        <v>248</v>
      </c>
      <c r="C1056" s="13" t="s">
        <v>30</v>
      </c>
      <c r="D1056" s="13" t="s">
        <v>840</v>
      </c>
      <c r="E1056" s="13" t="s">
        <v>837</v>
      </c>
      <c r="F1056" s="11">
        <v>-9.6999999999999993</v>
      </c>
      <c r="G1056" s="11">
        <v>-8.8000000000000007</v>
      </c>
      <c r="H1056" s="11">
        <v>-4</v>
      </c>
      <c r="I1056" s="11">
        <v>5.6</v>
      </c>
      <c r="J1056" s="11">
        <v>13</v>
      </c>
      <c r="K1056" s="11">
        <v>16.899999999999999</v>
      </c>
      <c r="L1056" s="11">
        <v>18.5</v>
      </c>
      <c r="M1056" s="11">
        <v>17.100000000000001</v>
      </c>
      <c r="N1056" s="11">
        <v>11.7</v>
      </c>
      <c r="O1056" s="11">
        <v>5.0999999999999996</v>
      </c>
      <c r="P1056" s="11">
        <v>-0.9</v>
      </c>
      <c r="Q1056" s="11">
        <v>-5.6</v>
      </c>
      <c r="R1056" s="10">
        <v>4.9000000000000004</v>
      </c>
      <c r="S1056" s="12">
        <v>248</v>
      </c>
      <c r="T1056" s="8" t="s">
        <v>839</v>
      </c>
      <c r="U1056" s="11">
        <v>-35</v>
      </c>
      <c r="V1056" s="11">
        <v>-31</v>
      </c>
      <c r="W1056" s="11">
        <v>-30</v>
      </c>
      <c r="X1056" s="11">
        <v>-26</v>
      </c>
      <c r="Y1056" s="11">
        <v>-15</v>
      </c>
      <c r="Z1056" s="11">
        <v>-39</v>
      </c>
      <c r="AA1056" s="11">
        <v>6.5</v>
      </c>
      <c r="AB1056" s="11">
        <v>138</v>
      </c>
      <c r="AC1056" s="11">
        <v>-6</v>
      </c>
      <c r="AD1056" s="11">
        <v>205</v>
      </c>
      <c r="AE1056" s="11">
        <v>-2.7</v>
      </c>
      <c r="AF1056" s="11">
        <v>222</v>
      </c>
      <c r="AG1056" s="11">
        <v>-1.8</v>
      </c>
      <c r="AH1056" s="11">
        <v>86</v>
      </c>
      <c r="AI1056" s="11">
        <v>86</v>
      </c>
      <c r="AJ1056" s="11">
        <v>178</v>
      </c>
      <c r="AK1056" s="11" t="s">
        <v>39</v>
      </c>
      <c r="AL1056" s="11">
        <v>6.5</v>
      </c>
      <c r="AM1056" s="10">
        <v>4.8</v>
      </c>
      <c r="AN1056" s="9">
        <v>248</v>
      </c>
      <c r="AO1056" s="8" t="s">
        <v>838</v>
      </c>
      <c r="AP1056" s="8">
        <v>990</v>
      </c>
      <c r="AQ1056" s="8">
        <v>21.7</v>
      </c>
      <c r="AR1056" s="8">
        <v>25.9</v>
      </c>
      <c r="AS1056" s="8">
        <v>24.1</v>
      </c>
      <c r="AT1056" s="8">
        <v>38</v>
      </c>
      <c r="AU1056" s="8">
        <v>11.1</v>
      </c>
      <c r="AV1056" s="8">
        <v>71</v>
      </c>
      <c r="AW1056" s="8">
        <v>52</v>
      </c>
      <c r="AX1056" s="8">
        <v>393</v>
      </c>
      <c r="AY1056" s="8">
        <v>71</v>
      </c>
      <c r="AZ1056" s="8" t="s">
        <v>54</v>
      </c>
      <c r="BA1056" s="7">
        <v>3.9</v>
      </c>
      <c r="BB1056" s="9">
        <v>219</v>
      </c>
      <c r="BC1056" s="8" t="s">
        <v>837</v>
      </c>
      <c r="BD1056" s="8">
        <v>3</v>
      </c>
      <c r="BE1056" s="8">
        <v>3.1</v>
      </c>
      <c r="BF1056" s="8">
        <v>4.2</v>
      </c>
      <c r="BG1056" s="8">
        <v>7</v>
      </c>
      <c r="BH1056" s="8">
        <v>9.6</v>
      </c>
      <c r="BI1056" s="8">
        <v>13</v>
      </c>
      <c r="BJ1056" s="8">
        <v>14.9</v>
      </c>
      <c r="BK1056" s="8">
        <v>14</v>
      </c>
      <c r="BL1056" s="8">
        <v>10.5</v>
      </c>
      <c r="BM1056" s="8">
        <v>7.4</v>
      </c>
      <c r="BN1056" s="8">
        <v>5.3</v>
      </c>
      <c r="BO1056" s="8">
        <v>3.9</v>
      </c>
      <c r="BP1056" s="7">
        <v>8</v>
      </c>
    </row>
    <row r="1057" spans="1:68" ht="14.25" customHeight="1">
      <c r="A1057" s="12">
        <v>400</v>
      </c>
      <c r="B1057" s="14">
        <v>246</v>
      </c>
      <c r="C1057" s="13" t="s">
        <v>30</v>
      </c>
      <c r="D1057" s="13" t="s">
        <v>603</v>
      </c>
      <c r="E1057" s="13" t="s">
        <v>834</v>
      </c>
      <c r="F1057" s="11">
        <v>-14.8</v>
      </c>
      <c r="G1057" s="11">
        <v>-14.2</v>
      </c>
      <c r="H1057" s="11">
        <v>-7.3</v>
      </c>
      <c r="I1057" s="11">
        <v>5.2</v>
      </c>
      <c r="J1057" s="11">
        <v>15</v>
      </c>
      <c r="K1057" s="11">
        <v>19.7</v>
      </c>
      <c r="L1057" s="11">
        <v>21.9</v>
      </c>
      <c r="M1057" s="11">
        <v>20</v>
      </c>
      <c r="N1057" s="11">
        <v>13.4</v>
      </c>
      <c r="O1057" s="11">
        <v>4.5</v>
      </c>
      <c r="P1057" s="11">
        <v>-4</v>
      </c>
      <c r="Q1057" s="11">
        <v>-11.2</v>
      </c>
      <c r="R1057" s="10">
        <v>4</v>
      </c>
      <c r="S1057" s="12">
        <v>246</v>
      </c>
      <c r="T1057" s="8" t="s">
        <v>836</v>
      </c>
      <c r="U1057" s="11">
        <v>-37</v>
      </c>
      <c r="V1057" s="11">
        <v>-36</v>
      </c>
      <c r="W1057" s="11">
        <v>-34</v>
      </c>
      <c r="X1057" s="11">
        <v>-31</v>
      </c>
      <c r="Y1057" s="11">
        <v>-20</v>
      </c>
      <c r="Z1057" s="11">
        <v>-43</v>
      </c>
      <c r="AA1057" s="11">
        <v>8.1</v>
      </c>
      <c r="AB1057" s="11">
        <v>153</v>
      </c>
      <c r="AC1057" s="11">
        <v>-9.6</v>
      </c>
      <c r="AD1057" s="11">
        <v>202</v>
      </c>
      <c r="AE1057" s="11">
        <v>-6.3</v>
      </c>
      <c r="AF1057" s="11">
        <v>215</v>
      </c>
      <c r="AG1057" s="11">
        <v>-5.4</v>
      </c>
      <c r="AH1057" s="11">
        <v>80</v>
      </c>
      <c r="AI1057" s="11">
        <v>78</v>
      </c>
      <c r="AJ1057" s="11">
        <v>143</v>
      </c>
      <c r="AK1057" s="11" t="s">
        <v>66</v>
      </c>
      <c r="AL1057" s="11">
        <v>5.5</v>
      </c>
      <c r="AM1057" s="10">
        <v>4.5</v>
      </c>
      <c r="AN1057" s="9">
        <v>246</v>
      </c>
      <c r="AO1057" s="8" t="s">
        <v>835</v>
      </c>
      <c r="AP1057" s="8">
        <v>1000</v>
      </c>
      <c r="AQ1057" s="8">
        <v>26.1</v>
      </c>
      <c r="AR1057" s="8">
        <v>30</v>
      </c>
      <c r="AS1057" s="8">
        <v>28.5</v>
      </c>
      <c r="AT1057" s="8">
        <v>42</v>
      </c>
      <c r="AU1057" s="8">
        <v>13.1</v>
      </c>
      <c r="AV1057" s="8">
        <v>57</v>
      </c>
      <c r="AW1057" s="8">
        <v>40</v>
      </c>
      <c r="AX1057" s="8">
        <v>250</v>
      </c>
      <c r="AY1057" s="8">
        <v>60</v>
      </c>
      <c r="AZ1057" s="8" t="s">
        <v>32</v>
      </c>
      <c r="BA1057" s="7">
        <v>3.9</v>
      </c>
      <c r="BB1057" s="9">
        <v>217</v>
      </c>
      <c r="BC1057" s="8" t="s">
        <v>834</v>
      </c>
      <c r="BD1057" s="8">
        <v>1.9</v>
      </c>
      <c r="BE1057" s="8">
        <v>2</v>
      </c>
      <c r="BF1057" s="8">
        <v>3.4</v>
      </c>
      <c r="BG1057" s="8">
        <v>6.2</v>
      </c>
      <c r="BH1057" s="8">
        <v>8.6999999999999993</v>
      </c>
      <c r="BI1057" s="8">
        <v>12.1</v>
      </c>
      <c r="BJ1057" s="8">
        <v>14.2</v>
      </c>
      <c r="BK1057" s="8">
        <v>12.2</v>
      </c>
      <c r="BL1057" s="8">
        <v>8.9</v>
      </c>
      <c r="BM1057" s="8">
        <v>6.1</v>
      </c>
      <c r="BN1057" s="8">
        <v>4.2</v>
      </c>
      <c r="BO1057" s="8">
        <v>2.7</v>
      </c>
      <c r="BP1057" s="7">
        <v>6.9</v>
      </c>
    </row>
    <row r="1058" spans="1:68" ht="14.25" customHeight="1">
      <c r="A1058" s="12">
        <v>401</v>
      </c>
      <c r="B1058" s="14">
        <v>101</v>
      </c>
      <c r="C1058" s="13" t="s">
        <v>30</v>
      </c>
      <c r="D1058" s="13" t="s">
        <v>300</v>
      </c>
      <c r="E1058" s="13" t="s">
        <v>831</v>
      </c>
      <c r="F1058" s="11">
        <v>-26.7</v>
      </c>
      <c r="G1058" s="11">
        <v>-23.3</v>
      </c>
      <c r="H1058" s="11">
        <v>-13.2</v>
      </c>
      <c r="I1058" s="11">
        <v>-1.9</v>
      </c>
      <c r="J1058" s="11">
        <v>6.8</v>
      </c>
      <c r="K1058" s="11">
        <v>14.3</v>
      </c>
      <c r="L1058" s="11">
        <v>17.100000000000001</v>
      </c>
      <c r="M1058" s="11">
        <v>13.9</v>
      </c>
      <c r="N1058" s="11">
        <v>6.6</v>
      </c>
      <c r="O1058" s="11">
        <v>-2</v>
      </c>
      <c r="P1058" s="11">
        <v>-15</v>
      </c>
      <c r="Q1058" s="11">
        <v>-24.7</v>
      </c>
      <c r="R1058" s="10">
        <v>-4</v>
      </c>
      <c r="S1058" s="12">
        <v>101</v>
      </c>
      <c r="T1058" s="8" t="s">
        <v>833</v>
      </c>
      <c r="U1058" s="11">
        <v>-50</v>
      </c>
      <c r="V1058" s="11">
        <v>-49</v>
      </c>
      <c r="W1058" s="11">
        <v>-48</v>
      </c>
      <c r="X1058" s="11">
        <v>-46</v>
      </c>
      <c r="Y1058" s="11">
        <v>-32</v>
      </c>
      <c r="Z1058" s="11">
        <v>-55</v>
      </c>
      <c r="AA1058" s="11">
        <v>11.6</v>
      </c>
      <c r="AB1058" s="11">
        <v>195</v>
      </c>
      <c r="AC1058" s="11">
        <v>-16.3</v>
      </c>
      <c r="AD1058" s="11">
        <v>253</v>
      </c>
      <c r="AE1058" s="11">
        <v>-11.6</v>
      </c>
      <c r="AF1058" s="11">
        <v>270</v>
      </c>
      <c r="AG1058" s="11">
        <v>-10.4</v>
      </c>
      <c r="AH1058" s="11">
        <v>80</v>
      </c>
      <c r="AI1058" s="11">
        <v>77</v>
      </c>
      <c r="AJ1058" s="11">
        <v>101</v>
      </c>
      <c r="AK1058" s="11" t="s">
        <v>34</v>
      </c>
      <c r="AL1058" s="11" t="s">
        <v>44</v>
      </c>
      <c r="AM1058" s="10">
        <v>1.4</v>
      </c>
      <c r="AN1058" s="9">
        <v>101</v>
      </c>
      <c r="AO1058" s="8" t="s">
        <v>832</v>
      </c>
      <c r="AP1058" s="8">
        <v>970</v>
      </c>
      <c r="AQ1058" s="8">
        <v>22.7</v>
      </c>
      <c r="AR1058" s="8">
        <v>26.8</v>
      </c>
      <c r="AS1058" s="8">
        <v>25.1</v>
      </c>
      <c r="AT1058" s="8">
        <v>38</v>
      </c>
      <c r="AU1058" s="8">
        <v>14.5</v>
      </c>
      <c r="AV1058" s="8">
        <v>78</v>
      </c>
      <c r="AW1058" s="8">
        <v>58</v>
      </c>
      <c r="AX1058" s="8">
        <v>349</v>
      </c>
      <c r="AY1058" s="8">
        <v>50</v>
      </c>
      <c r="AZ1058" s="8" t="s">
        <v>32</v>
      </c>
      <c r="BA1058" s="7" t="s">
        <v>46</v>
      </c>
      <c r="BB1058" s="9">
        <v>85</v>
      </c>
      <c r="BC1058" s="8" t="s">
        <v>831</v>
      </c>
      <c r="BD1058" s="8">
        <v>0.8</v>
      </c>
      <c r="BE1058" s="8">
        <v>0.9</v>
      </c>
      <c r="BF1058" s="8">
        <v>1.8</v>
      </c>
      <c r="BG1058" s="8">
        <v>3.5</v>
      </c>
      <c r="BH1058" s="8">
        <v>6.1</v>
      </c>
      <c r="BI1058" s="8">
        <v>10.9</v>
      </c>
      <c r="BJ1058" s="8">
        <v>14.9</v>
      </c>
      <c r="BK1058" s="8">
        <v>13.2</v>
      </c>
      <c r="BL1058" s="8">
        <v>8.1</v>
      </c>
      <c r="BM1058" s="8">
        <v>4.3</v>
      </c>
      <c r="BN1058" s="8">
        <v>1.9</v>
      </c>
      <c r="BO1058" s="8">
        <v>1</v>
      </c>
      <c r="BP1058" s="7">
        <v>5.6</v>
      </c>
    </row>
    <row r="1059" spans="1:68" ht="14.25" customHeight="1">
      <c r="A1059" s="12">
        <v>402</v>
      </c>
      <c r="B1059" s="14">
        <v>121</v>
      </c>
      <c r="C1059" s="13" t="s">
        <v>30</v>
      </c>
      <c r="D1059" s="13" t="s">
        <v>293</v>
      </c>
      <c r="E1059" s="13" t="s">
        <v>828</v>
      </c>
      <c r="F1059" s="11">
        <v>-13.3</v>
      </c>
      <c r="G1059" s="11">
        <v>-13.9</v>
      </c>
      <c r="H1059" s="11">
        <v>-12.2</v>
      </c>
      <c r="I1059" s="11">
        <v>-6.4</v>
      </c>
      <c r="J1059" s="11">
        <v>0.6</v>
      </c>
      <c r="K1059" s="11">
        <v>6.9</v>
      </c>
      <c r="L1059" s="11">
        <v>11.8</v>
      </c>
      <c r="M1059" s="11">
        <v>12</v>
      </c>
      <c r="N1059" s="11">
        <v>7.8</v>
      </c>
      <c r="O1059" s="11">
        <v>0.1</v>
      </c>
      <c r="P1059" s="11">
        <v>-7.6</v>
      </c>
      <c r="Q1059" s="11">
        <v>-12.5</v>
      </c>
      <c r="R1059" s="10">
        <v>-2.2000000000000002</v>
      </c>
      <c r="S1059" s="12">
        <v>121</v>
      </c>
      <c r="T1059" s="8" t="s">
        <v>830</v>
      </c>
      <c r="U1059" s="11">
        <v>-35</v>
      </c>
      <c r="V1059" s="11">
        <v>-34</v>
      </c>
      <c r="W1059" s="11">
        <v>-32</v>
      </c>
      <c r="X1059" s="11">
        <v>-31</v>
      </c>
      <c r="Y1059" s="11">
        <v>-19</v>
      </c>
      <c r="Z1059" s="11">
        <v>-41</v>
      </c>
      <c r="AA1059" s="11">
        <v>8.9</v>
      </c>
      <c r="AB1059" s="11">
        <v>209</v>
      </c>
      <c r="AC1059" s="11">
        <v>-9.5</v>
      </c>
      <c r="AD1059" s="11">
        <v>281</v>
      </c>
      <c r="AE1059" s="11">
        <v>-6</v>
      </c>
      <c r="AF1059" s="11">
        <v>308</v>
      </c>
      <c r="AG1059" s="11">
        <v>-4.7</v>
      </c>
      <c r="AH1059" s="11">
        <v>78</v>
      </c>
      <c r="AI1059" s="11">
        <v>74</v>
      </c>
      <c r="AJ1059" s="11">
        <v>401</v>
      </c>
      <c r="AK1059" s="11" t="s">
        <v>56</v>
      </c>
      <c r="AL1059" s="11" t="s">
        <v>44</v>
      </c>
      <c r="AM1059" s="10" t="s">
        <v>44</v>
      </c>
      <c r="AN1059" s="9">
        <v>121</v>
      </c>
      <c r="AO1059" s="8" t="s">
        <v>829</v>
      </c>
      <c r="AP1059" s="8">
        <v>1010</v>
      </c>
      <c r="AQ1059" s="8">
        <v>13.3</v>
      </c>
      <c r="AR1059" s="8">
        <v>17.899999999999999</v>
      </c>
      <c r="AS1059" s="8">
        <v>15.7</v>
      </c>
      <c r="AT1059" s="8">
        <v>30</v>
      </c>
      <c r="AU1059" s="8">
        <v>7.2</v>
      </c>
      <c r="AV1059" s="8">
        <v>82</v>
      </c>
      <c r="AW1059" s="8">
        <v>74</v>
      </c>
      <c r="AX1059" s="8">
        <v>634</v>
      </c>
      <c r="AY1059" s="8" t="s">
        <v>64</v>
      </c>
      <c r="AZ1059" s="8" t="s">
        <v>82</v>
      </c>
      <c r="BA1059" s="7" t="s">
        <v>46</v>
      </c>
      <c r="BB1059" s="9">
        <v>105</v>
      </c>
      <c r="BC1059" s="8" t="s">
        <v>828</v>
      </c>
      <c r="BD1059" s="8">
        <v>2.2000000000000002</v>
      </c>
      <c r="BE1059" s="8">
        <v>2.1</v>
      </c>
      <c r="BF1059" s="8">
        <v>2.2999999999999998</v>
      </c>
      <c r="BG1059" s="8">
        <v>3.3</v>
      </c>
      <c r="BH1059" s="8">
        <v>5.3</v>
      </c>
      <c r="BI1059" s="8">
        <v>8</v>
      </c>
      <c r="BJ1059" s="8">
        <v>11.3</v>
      </c>
      <c r="BK1059" s="8">
        <v>11.5</v>
      </c>
      <c r="BL1059" s="8">
        <v>8.4</v>
      </c>
      <c r="BM1059" s="8">
        <v>4.9000000000000004</v>
      </c>
      <c r="BN1059" s="8">
        <v>3</v>
      </c>
      <c r="BO1059" s="8">
        <v>2.2999999999999998</v>
      </c>
      <c r="BP1059" s="7">
        <v>5.4</v>
      </c>
    </row>
    <row r="1060" spans="1:68" ht="14.25" customHeight="1">
      <c r="A1060" s="12">
        <v>403</v>
      </c>
      <c r="B1060" s="14">
        <v>397</v>
      </c>
      <c r="C1060" s="13" t="s">
        <v>30</v>
      </c>
      <c r="D1060" s="13" t="s">
        <v>80</v>
      </c>
      <c r="E1060" s="13" t="s">
        <v>825</v>
      </c>
      <c r="F1060" s="11">
        <v>-33.6</v>
      </c>
      <c r="G1060" s="11">
        <v>-33.1</v>
      </c>
      <c r="H1060" s="11">
        <v>-26.4</v>
      </c>
      <c r="I1060" s="11">
        <v>-14.1</v>
      </c>
      <c r="J1060" s="11">
        <v>0.5</v>
      </c>
      <c r="K1060" s="11">
        <v>11.7</v>
      </c>
      <c r="L1060" s="11">
        <v>13.1</v>
      </c>
      <c r="M1060" s="11">
        <v>9.1999999999999993</v>
      </c>
      <c r="N1060" s="11">
        <v>1.8</v>
      </c>
      <c r="O1060" s="11">
        <v>-12.1</v>
      </c>
      <c r="P1060" s="11">
        <v>-26.4</v>
      </c>
      <c r="Q1060" s="11">
        <v>-32.200000000000003</v>
      </c>
      <c r="R1060" s="10">
        <v>-11.8</v>
      </c>
      <c r="S1060" s="12">
        <v>397</v>
      </c>
      <c r="T1060" s="8" t="s">
        <v>827</v>
      </c>
      <c r="U1060" s="11">
        <v>-57</v>
      </c>
      <c r="V1060" s="11">
        <v>-53</v>
      </c>
      <c r="W1060" s="11">
        <v>-55</v>
      </c>
      <c r="X1060" s="11">
        <v>-51</v>
      </c>
      <c r="Y1060" s="11">
        <v>-39</v>
      </c>
      <c r="Z1060" s="11">
        <v>-58</v>
      </c>
      <c r="AA1060" s="11">
        <v>9.1999999999999993</v>
      </c>
      <c r="AB1060" s="11">
        <v>238</v>
      </c>
      <c r="AC1060" s="11">
        <v>-22.5</v>
      </c>
      <c r="AD1060" s="11">
        <v>288</v>
      </c>
      <c r="AE1060" s="11">
        <v>-17.8</v>
      </c>
      <c r="AF1060" s="11">
        <v>305</v>
      </c>
      <c r="AG1060" s="11">
        <v>-16.3</v>
      </c>
      <c r="AH1060" s="11">
        <v>75</v>
      </c>
      <c r="AI1060" s="11">
        <v>75</v>
      </c>
      <c r="AJ1060" s="11">
        <v>71</v>
      </c>
      <c r="AK1060" s="11" t="s">
        <v>75</v>
      </c>
      <c r="AL1060" s="11">
        <v>4.5</v>
      </c>
      <c r="AM1060" s="10">
        <v>1.8</v>
      </c>
      <c r="AN1060" s="9">
        <v>397</v>
      </c>
      <c r="AO1060" s="8" t="s">
        <v>826</v>
      </c>
      <c r="AP1060" s="8">
        <v>1000</v>
      </c>
      <c r="AQ1060" s="8">
        <v>16.8</v>
      </c>
      <c r="AR1060" s="8">
        <v>21.2</v>
      </c>
      <c r="AS1060" s="8">
        <v>19.2</v>
      </c>
      <c r="AT1060" s="8">
        <v>34</v>
      </c>
      <c r="AU1060" s="8">
        <v>12.7</v>
      </c>
      <c r="AV1060" s="8">
        <v>65</v>
      </c>
      <c r="AW1060" s="8">
        <v>53</v>
      </c>
      <c r="AX1060" s="8">
        <v>156</v>
      </c>
      <c r="AY1060" s="8">
        <v>38</v>
      </c>
      <c r="AZ1060" s="8" t="s">
        <v>54</v>
      </c>
      <c r="BA1060" s="7">
        <v>0</v>
      </c>
      <c r="BB1060" s="9">
        <v>361</v>
      </c>
      <c r="BC1060" s="8" t="s">
        <v>825</v>
      </c>
      <c r="BD1060" s="8">
        <v>0.5</v>
      </c>
      <c r="BE1060" s="8">
        <v>0.5</v>
      </c>
      <c r="BF1060" s="8">
        <v>0.7</v>
      </c>
      <c r="BG1060" s="8">
        <v>1.6</v>
      </c>
      <c r="BH1060" s="8">
        <v>4.0999999999999996</v>
      </c>
      <c r="BI1060" s="8">
        <v>7.6</v>
      </c>
      <c r="BJ1060" s="8">
        <v>9.6</v>
      </c>
      <c r="BK1060" s="8">
        <v>8.5</v>
      </c>
      <c r="BL1060" s="8">
        <v>5.3</v>
      </c>
      <c r="BM1060" s="8">
        <v>2.2999999999999998</v>
      </c>
      <c r="BN1060" s="8">
        <v>0.7</v>
      </c>
      <c r="BO1060" s="8">
        <v>0.5</v>
      </c>
      <c r="BP1060" s="7">
        <v>3.5</v>
      </c>
    </row>
    <row r="1061" spans="1:68" ht="14.25" customHeight="1">
      <c r="A1061" s="12">
        <v>404</v>
      </c>
      <c r="B1061" s="14">
        <v>295</v>
      </c>
      <c r="C1061" s="13" t="s">
        <v>30</v>
      </c>
      <c r="D1061" s="13" t="s">
        <v>72</v>
      </c>
      <c r="E1061" s="13" t="s">
        <v>822</v>
      </c>
      <c r="F1061" s="11">
        <v>-19.7</v>
      </c>
      <c r="G1061" s="11">
        <v>-17.7</v>
      </c>
      <c r="H1061" s="11">
        <v>-12.5</v>
      </c>
      <c r="I1061" s="11">
        <v>-4</v>
      </c>
      <c r="J1061" s="11">
        <v>1.5</v>
      </c>
      <c r="K1061" s="11">
        <v>7.7</v>
      </c>
      <c r="L1061" s="11">
        <v>12.7</v>
      </c>
      <c r="M1061" s="11">
        <v>13.9</v>
      </c>
      <c r="N1061" s="11">
        <v>10.199999999999999</v>
      </c>
      <c r="O1061" s="11">
        <v>2.7</v>
      </c>
      <c r="P1061" s="11">
        <v>-6.3</v>
      </c>
      <c r="Q1061" s="11">
        <v>-15.1</v>
      </c>
      <c r="R1061" s="10">
        <v>-2.2000000000000002</v>
      </c>
      <c r="S1061" s="12">
        <v>295</v>
      </c>
      <c r="T1061" s="8" t="s">
        <v>824</v>
      </c>
      <c r="U1061" s="11">
        <v>-34</v>
      </c>
      <c r="V1061" s="11">
        <v>-32</v>
      </c>
      <c r="W1061" s="11">
        <v>-31</v>
      </c>
      <c r="X1061" s="11">
        <v>-29</v>
      </c>
      <c r="Y1061" s="11">
        <v>-25</v>
      </c>
      <c r="Z1061" s="11">
        <v>-39</v>
      </c>
      <c r="AA1061" s="11">
        <v>6.8</v>
      </c>
      <c r="AB1061" s="11">
        <v>194</v>
      </c>
      <c r="AC1061" s="11">
        <v>-11.5</v>
      </c>
      <c r="AD1061" s="11">
        <v>266</v>
      </c>
      <c r="AE1061" s="11">
        <v>-7.3</v>
      </c>
      <c r="AF1061" s="11">
        <v>286</v>
      </c>
      <c r="AG1061" s="11">
        <v>-6.1</v>
      </c>
      <c r="AH1061" s="11">
        <v>81</v>
      </c>
      <c r="AI1061" s="11">
        <v>81</v>
      </c>
      <c r="AJ1061" s="11">
        <v>192</v>
      </c>
      <c r="AK1061" s="11" t="s">
        <v>75</v>
      </c>
      <c r="AL1061" s="11">
        <v>11.2</v>
      </c>
      <c r="AM1061" s="10">
        <v>5.9</v>
      </c>
      <c r="AN1061" s="9">
        <v>289</v>
      </c>
      <c r="AO1061" s="8" t="s">
        <v>823</v>
      </c>
      <c r="AP1061" s="8">
        <v>1010</v>
      </c>
      <c r="AQ1061" s="8">
        <v>15.9</v>
      </c>
      <c r="AR1061" s="8">
        <v>20.399999999999999</v>
      </c>
      <c r="AS1061" s="8">
        <v>18.3</v>
      </c>
      <c r="AT1061" s="8">
        <v>38</v>
      </c>
      <c r="AU1061" s="8">
        <v>7.8</v>
      </c>
      <c r="AV1061" s="8">
        <v>86</v>
      </c>
      <c r="AW1061" s="8">
        <v>74</v>
      </c>
      <c r="AX1061" s="8">
        <v>426</v>
      </c>
      <c r="AY1061" s="8">
        <v>73</v>
      </c>
      <c r="AZ1061" s="8" t="s">
        <v>25</v>
      </c>
      <c r="BA1061" s="7">
        <v>4.9000000000000004</v>
      </c>
      <c r="BB1061" s="9">
        <v>260</v>
      </c>
      <c r="BC1061" s="8" t="s">
        <v>822</v>
      </c>
      <c r="BD1061" s="8">
        <v>1.3</v>
      </c>
      <c r="BE1061" s="8">
        <v>1.4</v>
      </c>
      <c r="BF1061" s="8">
        <v>2</v>
      </c>
      <c r="BG1061" s="8">
        <v>3.9</v>
      </c>
      <c r="BH1061" s="8">
        <v>5.7</v>
      </c>
      <c r="BI1061" s="8">
        <v>8.6999999999999993</v>
      </c>
      <c r="BJ1061" s="8">
        <v>12.6</v>
      </c>
      <c r="BK1061" s="8">
        <v>13.6</v>
      </c>
      <c r="BL1061" s="8">
        <v>10.6</v>
      </c>
      <c r="BM1061" s="8">
        <v>6</v>
      </c>
      <c r="BN1061" s="8">
        <v>3.3</v>
      </c>
      <c r="BO1061" s="8">
        <v>1.9</v>
      </c>
      <c r="BP1061" s="7">
        <v>5.9</v>
      </c>
    </row>
    <row r="1062" spans="1:68" ht="14.25" customHeight="1">
      <c r="A1062" s="12">
        <v>405</v>
      </c>
      <c r="B1062" s="14">
        <v>360</v>
      </c>
      <c r="C1062" s="13" t="s">
        <v>30</v>
      </c>
      <c r="D1062" s="13" t="s">
        <v>86</v>
      </c>
      <c r="E1062" s="13" t="s">
        <v>819</v>
      </c>
      <c r="F1062" s="11">
        <v>-23</v>
      </c>
      <c r="G1062" s="11">
        <v>-20</v>
      </c>
      <c r="H1062" s="11">
        <v>-14.3</v>
      </c>
      <c r="I1062" s="11">
        <v>-5.8</v>
      </c>
      <c r="J1062" s="11">
        <v>1.1000000000000001</v>
      </c>
      <c r="K1062" s="11">
        <v>6.2</v>
      </c>
      <c r="L1062" s="11">
        <v>11.8</v>
      </c>
      <c r="M1062" s="11">
        <v>13</v>
      </c>
      <c r="N1062" s="11">
        <v>8.4</v>
      </c>
      <c r="O1062" s="11">
        <v>-2.2999999999999998</v>
      </c>
      <c r="P1062" s="11">
        <v>-14.1</v>
      </c>
      <c r="Q1062" s="11">
        <v>-20.5</v>
      </c>
      <c r="R1062" s="10">
        <v>-5</v>
      </c>
      <c r="S1062" s="12">
        <v>360</v>
      </c>
      <c r="T1062" s="8" t="s">
        <v>821</v>
      </c>
      <c r="U1062" s="11">
        <v>-38</v>
      </c>
      <c r="V1062" s="11">
        <v>-36</v>
      </c>
      <c r="W1062" s="11">
        <v>-35</v>
      </c>
      <c r="X1062" s="11">
        <v>-33</v>
      </c>
      <c r="Y1062" s="11">
        <v>-27</v>
      </c>
      <c r="Z1062" s="11">
        <v>-45</v>
      </c>
      <c r="AA1062" s="11">
        <v>6.3</v>
      </c>
      <c r="AB1062" s="11">
        <v>213</v>
      </c>
      <c r="AC1062" s="11">
        <v>-13.7</v>
      </c>
      <c r="AD1062" s="11">
        <v>280</v>
      </c>
      <c r="AE1062" s="11">
        <v>-9.5</v>
      </c>
      <c r="AF1062" s="11">
        <v>304</v>
      </c>
      <c r="AG1062" s="11">
        <v>-8.1</v>
      </c>
      <c r="AH1062" s="11">
        <v>64</v>
      </c>
      <c r="AI1062" s="11">
        <v>62</v>
      </c>
      <c r="AJ1062" s="11">
        <v>72</v>
      </c>
      <c r="AK1062" s="11" t="s">
        <v>56</v>
      </c>
      <c r="AL1062" s="11" t="s">
        <v>44</v>
      </c>
      <c r="AM1062" s="10">
        <v>4.2</v>
      </c>
      <c r="AN1062" s="9">
        <v>360</v>
      </c>
      <c r="AO1062" s="8" t="s">
        <v>820</v>
      </c>
      <c r="AP1062" s="8">
        <v>1010</v>
      </c>
      <c r="AQ1062" s="8">
        <v>13.8</v>
      </c>
      <c r="AR1062" s="8">
        <v>16.399999999999999</v>
      </c>
      <c r="AS1062" s="8">
        <v>16.399999999999999</v>
      </c>
      <c r="AT1062" s="8">
        <v>32</v>
      </c>
      <c r="AU1062" s="8">
        <v>6.5</v>
      </c>
      <c r="AV1062" s="8">
        <v>89</v>
      </c>
      <c r="AW1062" s="8">
        <v>80</v>
      </c>
      <c r="AX1062" s="8">
        <v>395</v>
      </c>
      <c r="AY1062" s="8">
        <v>80</v>
      </c>
      <c r="AZ1062" s="8" t="s">
        <v>25</v>
      </c>
      <c r="BA1062" s="7" t="s">
        <v>46</v>
      </c>
      <c r="BB1062" s="9">
        <v>325</v>
      </c>
      <c r="BC1062" s="8" t="s">
        <v>819</v>
      </c>
      <c r="BD1062" s="8">
        <v>0.8</v>
      </c>
      <c r="BE1062" s="8">
        <v>1</v>
      </c>
      <c r="BF1062" s="8">
        <v>1.6</v>
      </c>
      <c r="BG1062" s="8">
        <v>3.2</v>
      </c>
      <c r="BH1062" s="8">
        <v>5.6</v>
      </c>
      <c r="BI1062" s="8">
        <v>8.6</v>
      </c>
      <c r="BJ1062" s="8">
        <v>12.3</v>
      </c>
      <c r="BK1062" s="8">
        <v>13</v>
      </c>
      <c r="BL1062" s="8">
        <v>9.1</v>
      </c>
      <c r="BM1062" s="8">
        <v>3.7</v>
      </c>
      <c r="BN1062" s="8">
        <v>1.4</v>
      </c>
      <c r="BO1062" s="8">
        <v>1</v>
      </c>
      <c r="BP1062" s="7">
        <v>5.0999999999999996</v>
      </c>
    </row>
    <row r="1063" spans="1:68" ht="14.25" customHeight="1">
      <c r="A1063" s="12">
        <v>406</v>
      </c>
      <c r="B1063" s="14">
        <v>429</v>
      </c>
      <c r="C1063" s="13" t="s">
        <v>30</v>
      </c>
      <c r="D1063" s="13" t="s">
        <v>57</v>
      </c>
      <c r="E1063" s="13" t="s">
        <v>817</v>
      </c>
      <c r="F1063" s="11">
        <v>-44.2</v>
      </c>
      <c r="G1063" s="11">
        <v>-39.4</v>
      </c>
      <c r="H1063" s="11">
        <v>-24.7</v>
      </c>
      <c r="I1063" s="11">
        <v>-7.8</v>
      </c>
      <c r="J1063" s="11">
        <v>5.7</v>
      </c>
      <c r="K1063" s="11">
        <v>14.2</v>
      </c>
      <c r="L1063" s="11">
        <v>17.399999999999999</v>
      </c>
      <c r="M1063" s="11">
        <v>14</v>
      </c>
      <c r="N1063" s="11">
        <v>5.5</v>
      </c>
      <c r="O1063" s="11">
        <v>-8.6999999999999993</v>
      </c>
      <c r="P1063" s="11">
        <v>-30.3</v>
      </c>
      <c r="Q1063" s="11">
        <v>-41.1</v>
      </c>
      <c r="R1063" s="10">
        <v>-11.6</v>
      </c>
      <c r="S1063" s="12">
        <v>429</v>
      </c>
      <c r="T1063" s="8" t="s">
        <v>817</v>
      </c>
      <c r="U1063" s="11">
        <v>-58</v>
      </c>
      <c r="V1063" s="11">
        <v>-57</v>
      </c>
      <c r="W1063" s="11">
        <v>-56</v>
      </c>
      <c r="X1063" s="11">
        <v>-55</v>
      </c>
      <c r="Y1063" s="11">
        <v>-49</v>
      </c>
      <c r="Z1063" s="11">
        <v>-60</v>
      </c>
      <c r="AA1063" s="11">
        <v>7.9</v>
      </c>
      <c r="AB1063" s="11">
        <v>218</v>
      </c>
      <c r="AC1063" s="11">
        <v>-26.7</v>
      </c>
      <c r="AD1063" s="11">
        <v>260</v>
      </c>
      <c r="AE1063" s="11">
        <v>-21.7</v>
      </c>
      <c r="AF1063" s="11">
        <v>274</v>
      </c>
      <c r="AG1063" s="11">
        <v>-20.100000000000001</v>
      </c>
      <c r="AH1063" s="11">
        <v>74</v>
      </c>
      <c r="AI1063" s="11">
        <v>74</v>
      </c>
      <c r="AJ1063" s="11">
        <v>54</v>
      </c>
      <c r="AK1063" s="11" t="s">
        <v>34</v>
      </c>
      <c r="AL1063" s="11">
        <v>1.8</v>
      </c>
      <c r="AM1063" s="10">
        <v>1.1000000000000001</v>
      </c>
      <c r="AN1063" s="9">
        <v>429</v>
      </c>
      <c r="AO1063" s="8" t="s">
        <v>818</v>
      </c>
      <c r="AP1063" s="8">
        <v>990</v>
      </c>
      <c r="AQ1063" s="8">
        <v>21.8</v>
      </c>
      <c r="AR1063" s="8">
        <v>26</v>
      </c>
      <c r="AS1063" s="8">
        <v>24.2</v>
      </c>
      <c r="AT1063" s="8">
        <v>37</v>
      </c>
      <c r="AU1063" s="8">
        <v>14.3</v>
      </c>
      <c r="AV1063" s="8">
        <v>71</v>
      </c>
      <c r="AW1063" s="8">
        <v>54</v>
      </c>
      <c r="AX1063" s="8">
        <v>275</v>
      </c>
      <c r="AY1063" s="8">
        <v>45</v>
      </c>
      <c r="AZ1063" s="8" t="s">
        <v>151</v>
      </c>
      <c r="BA1063" s="7">
        <v>0</v>
      </c>
      <c r="BB1063" s="9">
        <v>392</v>
      </c>
      <c r="BC1063" s="8" t="s">
        <v>817</v>
      </c>
      <c r="BD1063" s="8">
        <v>0.1</v>
      </c>
      <c r="BE1063" s="8">
        <v>0.2</v>
      </c>
      <c r="BF1063" s="8">
        <v>0.8</v>
      </c>
      <c r="BG1063" s="8">
        <v>2.4</v>
      </c>
      <c r="BH1063" s="8">
        <v>5.0999999999999996</v>
      </c>
      <c r="BI1063" s="8">
        <v>10.199999999999999</v>
      </c>
      <c r="BJ1063" s="8">
        <v>13.7</v>
      </c>
      <c r="BK1063" s="8">
        <v>12.2</v>
      </c>
      <c r="BL1063" s="8">
        <v>7.1</v>
      </c>
      <c r="BM1063" s="8">
        <v>3</v>
      </c>
      <c r="BN1063" s="8">
        <v>0.6</v>
      </c>
      <c r="BO1063" s="8">
        <v>0.2</v>
      </c>
      <c r="BP1063" s="7">
        <v>4.5999999999999996</v>
      </c>
    </row>
    <row r="1064" spans="1:68" ht="14.25" customHeight="1">
      <c r="A1064" s="12">
        <v>407</v>
      </c>
      <c r="B1064" s="14">
        <v>545</v>
      </c>
      <c r="C1064" s="13" t="s">
        <v>158</v>
      </c>
      <c r="D1064" s="13" t="s">
        <v>262</v>
      </c>
      <c r="E1064" s="13" t="s">
        <v>815</v>
      </c>
      <c r="F1064" s="11">
        <v>-3.5</v>
      </c>
      <c r="G1064" s="11">
        <v>-0.9</v>
      </c>
      <c r="H1064" s="11">
        <v>5.7</v>
      </c>
      <c r="I1064" s="11">
        <v>12.8</v>
      </c>
      <c r="J1064" s="11">
        <v>18</v>
      </c>
      <c r="K1064" s="11">
        <v>22.3</v>
      </c>
      <c r="L1064" s="11">
        <v>24.7</v>
      </c>
      <c r="M1064" s="11">
        <v>23.1</v>
      </c>
      <c r="N1064" s="11">
        <v>18.100000000000001</v>
      </c>
      <c r="O1064" s="11">
        <v>11.2</v>
      </c>
      <c r="P1064" s="11">
        <v>4.3</v>
      </c>
      <c r="Q1064" s="11">
        <v>-0.7</v>
      </c>
      <c r="R1064" s="10">
        <v>11.2</v>
      </c>
      <c r="S1064" s="12">
        <v>545</v>
      </c>
      <c r="T1064" s="8" t="s">
        <v>815</v>
      </c>
      <c r="U1064" s="11">
        <v>-20</v>
      </c>
      <c r="V1064" s="11">
        <v>-17</v>
      </c>
      <c r="W1064" s="11">
        <v>-16</v>
      </c>
      <c r="X1064" s="11">
        <v>-13</v>
      </c>
      <c r="Y1064" s="11" t="s">
        <v>49</v>
      </c>
      <c r="Z1064" s="11" t="s">
        <v>44</v>
      </c>
      <c r="AA1064" s="11">
        <v>9.9</v>
      </c>
      <c r="AB1064" s="11" t="s">
        <v>84</v>
      </c>
      <c r="AC1064" s="11" t="s">
        <v>45</v>
      </c>
      <c r="AD1064" s="11" t="s">
        <v>84</v>
      </c>
      <c r="AE1064" s="11" t="s">
        <v>44</v>
      </c>
      <c r="AF1064" s="11" t="s">
        <v>114</v>
      </c>
      <c r="AG1064" s="11" t="s">
        <v>44</v>
      </c>
      <c r="AH1064" s="11" t="s">
        <v>49</v>
      </c>
      <c r="AI1064" s="11">
        <v>57</v>
      </c>
      <c r="AJ1064" s="11">
        <v>205</v>
      </c>
      <c r="AK1064" s="11" t="s">
        <v>48</v>
      </c>
      <c r="AL1064" s="11">
        <v>1.8</v>
      </c>
      <c r="AM1064" s="10" t="s">
        <v>44</v>
      </c>
      <c r="AN1064" s="9">
        <v>545</v>
      </c>
      <c r="AO1064" s="8" t="s">
        <v>816</v>
      </c>
      <c r="AP1064" s="8" t="s">
        <v>64</v>
      </c>
      <c r="AQ1064" s="8" t="s">
        <v>45</v>
      </c>
      <c r="AR1064" s="8" t="s">
        <v>44</v>
      </c>
      <c r="AS1064" s="8" t="s">
        <v>45</v>
      </c>
      <c r="AT1064" s="8">
        <v>39</v>
      </c>
      <c r="AU1064" s="8" t="s">
        <v>46</v>
      </c>
      <c r="AV1064" s="8">
        <v>44</v>
      </c>
      <c r="AW1064" s="8">
        <v>29</v>
      </c>
      <c r="AX1064" s="8">
        <v>191</v>
      </c>
      <c r="AY1064" s="8">
        <v>63</v>
      </c>
      <c r="AZ1064" s="8" t="s">
        <v>43</v>
      </c>
      <c r="BA1064" s="7">
        <v>1.7</v>
      </c>
      <c r="BB1064" s="9"/>
      <c r="BC1064" s="8" t="s">
        <v>815</v>
      </c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7"/>
    </row>
    <row r="1065" spans="1:68" ht="14.25" customHeight="1">
      <c r="A1065" s="12">
        <v>408</v>
      </c>
      <c r="B1065" s="14">
        <v>527</v>
      </c>
      <c r="C1065" s="13" t="s">
        <v>121</v>
      </c>
      <c r="D1065" s="13" t="s">
        <v>814</v>
      </c>
      <c r="E1065" s="13" t="s">
        <v>812</v>
      </c>
      <c r="F1065" s="11">
        <v>-17.600000000000001</v>
      </c>
      <c r="G1065" s="11">
        <v>-17.3</v>
      </c>
      <c r="H1065" s="11">
        <v>-9.4</v>
      </c>
      <c r="I1065" s="11">
        <v>4.2</v>
      </c>
      <c r="J1065" s="11">
        <v>13.2</v>
      </c>
      <c r="K1065" s="11">
        <v>19.5</v>
      </c>
      <c r="L1065" s="11">
        <v>21.4</v>
      </c>
      <c r="M1065" s="11">
        <v>18.5</v>
      </c>
      <c r="N1065" s="11">
        <v>12.3</v>
      </c>
      <c r="O1065" s="11">
        <v>3.5</v>
      </c>
      <c r="P1065" s="11">
        <v>-7</v>
      </c>
      <c r="Q1065" s="11">
        <v>-14.4</v>
      </c>
      <c r="R1065" s="10">
        <v>2.2000000000000002</v>
      </c>
      <c r="S1065" s="12">
        <v>527</v>
      </c>
      <c r="T1065" s="8" t="s">
        <v>812</v>
      </c>
      <c r="U1065" s="11">
        <v>-40</v>
      </c>
      <c r="V1065" s="11">
        <v>-39</v>
      </c>
      <c r="W1065" s="11">
        <v>-38</v>
      </c>
      <c r="X1065" s="11">
        <v>-35</v>
      </c>
      <c r="Y1065" s="11" t="s">
        <v>49</v>
      </c>
      <c r="Z1065" s="11">
        <v>-47</v>
      </c>
      <c r="AA1065" s="11">
        <v>9.8000000000000007</v>
      </c>
      <c r="AB1065" s="11">
        <v>161</v>
      </c>
      <c r="AC1065" s="11">
        <v>-12.3</v>
      </c>
      <c r="AD1065" s="11">
        <v>206</v>
      </c>
      <c r="AE1065" s="11">
        <v>-8.6999999999999993</v>
      </c>
      <c r="AF1065" s="11">
        <v>220</v>
      </c>
      <c r="AG1065" s="11">
        <v>-7.6</v>
      </c>
      <c r="AH1065" s="11">
        <v>79</v>
      </c>
      <c r="AI1065" s="11" t="s">
        <v>49</v>
      </c>
      <c r="AJ1065" s="11">
        <v>86</v>
      </c>
      <c r="AK1065" s="11" t="s">
        <v>34</v>
      </c>
      <c r="AL1065" s="11">
        <v>5.9</v>
      </c>
      <c r="AM1065" s="10">
        <v>4.8</v>
      </c>
      <c r="AN1065" s="9">
        <v>527</v>
      </c>
      <c r="AO1065" s="8" t="s">
        <v>813</v>
      </c>
      <c r="AP1065" s="8" t="s">
        <v>64</v>
      </c>
      <c r="AQ1065" s="8" t="s">
        <v>45</v>
      </c>
      <c r="AR1065" s="8" t="s">
        <v>44</v>
      </c>
      <c r="AS1065" s="8">
        <v>27.7</v>
      </c>
      <c r="AT1065" s="8">
        <v>41</v>
      </c>
      <c r="AU1065" s="8">
        <v>13.1</v>
      </c>
      <c r="AV1065" s="8">
        <v>58</v>
      </c>
      <c r="AW1065" s="8" t="s">
        <v>44</v>
      </c>
      <c r="AX1065" s="8">
        <v>192</v>
      </c>
      <c r="AY1065" s="8" t="s">
        <v>64</v>
      </c>
      <c r="AZ1065" s="8" t="s">
        <v>32</v>
      </c>
      <c r="BA1065" s="7">
        <v>4.4000000000000004</v>
      </c>
      <c r="BB1065" s="9"/>
      <c r="BC1065" s="8" t="s">
        <v>812</v>
      </c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7"/>
    </row>
    <row r="1066" spans="1:68" ht="14.25" customHeight="1">
      <c r="A1066" s="12">
        <v>409</v>
      </c>
      <c r="B1066" s="14">
        <v>135</v>
      </c>
      <c r="C1066" s="13" t="s">
        <v>30</v>
      </c>
      <c r="D1066" s="13" t="s">
        <v>599</v>
      </c>
      <c r="E1066" s="13" t="s">
        <v>809</v>
      </c>
      <c r="F1066" s="11">
        <v>-11</v>
      </c>
      <c r="G1066" s="11">
        <v>-11.2</v>
      </c>
      <c r="H1066" s="11">
        <v>-7.1</v>
      </c>
      <c r="I1066" s="11">
        <v>-0.1</v>
      </c>
      <c r="J1066" s="11">
        <v>5.8</v>
      </c>
      <c r="K1066" s="11">
        <v>12.2</v>
      </c>
      <c r="L1066" s="11">
        <v>15.5</v>
      </c>
      <c r="M1066" s="11">
        <v>13.5</v>
      </c>
      <c r="N1066" s="11">
        <v>8.4</v>
      </c>
      <c r="O1066" s="11">
        <v>2.4</v>
      </c>
      <c r="P1066" s="11">
        <v>-3.1</v>
      </c>
      <c r="Q1066" s="11">
        <v>-8</v>
      </c>
      <c r="R1066" s="10">
        <v>1.4</v>
      </c>
      <c r="S1066" s="12">
        <v>135</v>
      </c>
      <c r="T1066" s="8" t="s">
        <v>811</v>
      </c>
      <c r="U1066" s="11">
        <v>-35</v>
      </c>
      <c r="V1066" s="11">
        <v>-34</v>
      </c>
      <c r="W1066" s="11">
        <v>-30</v>
      </c>
      <c r="X1066" s="11">
        <v>-29</v>
      </c>
      <c r="Y1066" s="11">
        <v>-16</v>
      </c>
      <c r="Z1066" s="11">
        <v>-46</v>
      </c>
      <c r="AA1066" s="11">
        <v>7.1</v>
      </c>
      <c r="AB1066" s="11">
        <v>169</v>
      </c>
      <c r="AC1066" s="11">
        <v>-7.1</v>
      </c>
      <c r="AD1066" s="11">
        <v>251</v>
      </c>
      <c r="AE1066" s="11">
        <v>-3.5</v>
      </c>
      <c r="AF1066" s="11">
        <v>272</v>
      </c>
      <c r="AG1066" s="11">
        <v>-2.5</v>
      </c>
      <c r="AH1066" s="11">
        <v>86</v>
      </c>
      <c r="AI1066" s="11">
        <v>86</v>
      </c>
      <c r="AJ1066" s="11">
        <v>126</v>
      </c>
      <c r="AK1066" s="11" t="s">
        <v>48</v>
      </c>
      <c r="AL1066" s="11">
        <v>4.5999999999999996</v>
      </c>
      <c r="AM1066" s="10">
        <v>3.8</v>
      </c>
      <c r="AN1066" s="9">
        <v>135</v>
      </c>
      <c r="AO1066" s="8" t="s">
        <v>810</v>
      </c>
      <c r="AP1066" s="8">
        <v>995</v>
      </c>
      <c r="AQ1066" s="8">
        <v>17.600000000000001</v>
      </c>
      <c r="AR1066" s="8">
        <v>22</v>
      </c>
      <c r="AS1066" s="8">
        <v>20</v>
      </c>
      <c r="AT1066" s="8">
        <v>32</v>
      </c>
      <c r="AU1066" s="8">
        <v>8.6</v>
      </c>
      <c r="AV1066" s="8">
        <v>74</v>
      </c>
      <c r="AW1066" s="8">
        <v>67</v>
      </c>
      <c r="AX1066" s="8">
        <v>365</v>
      </c>
      <c r="AY1066" s="8">
        <v>80</v>
      </c>
      <c r="AZ1066" s="8" t="s">
        <v>43</v>
      </c>
      <c r="BA1066" s="7">
        <v>3.2</v>
      </c>
      <c r="BB1066" s="9">
        <v>118</v>
      </c>
      <c r="BC1066" s="8" t="s">
        <v>809</v>
      </c>
      <c r="BD1066" s="8">
        <v>2.6</v>
      </c>
      <c r="BE1066" s="8">
        <v>2.6</v>
      </c>
      <c r="BF1066" s="8">
        <v>3.2</v>
      </c>
      <c r="BG1066" s="8">
        <v>4.5</v>
      </c>
      <c r="BH1066" s="8">
        <v>6.4</v>
      </c>
      <c r="BI1066" s="8">
        <v>10.1</v>
      </c>
      <c r="BJ1066" s="8">
        <v>13</v>
      </c>
      <c r="BK1066" s="8">
        <v>12.6</v>
      </c>
      <c r="BL1066" s="8">
        <v>9.4</v>
      </c>
      <c r="BM1066" s="8">
        <v>6.5</v>
      </c>
      <c r="BN1066" s="8">
        <v>4.7</v>
      </c>
      <c r="BO1066" s="8">
        <v>3.4</v>
      </c>
      <c r="BP1066" s="7">
        <v>6.5</v>
      </c>
    </row>
    <row r="1067" spans="1:68" ht="14.25" customHeight="1">
      <c r="A1067" s="12">
        <v>410</v>
      </c>
      <c r="B1067" s="14">
        <v>205</v>
      </c>
      <c r="C1067" s="13" t="s">
        <v>30</v>
      </c>
      <c r="D1067" s="13" t="s">
        <v>537</v>
      </c>
      <c r="E1067" s="13" t="s">
        <v>806</v>
      </c>
      <c r="F1067" s="11">
        <v>-22.1</v>
      </c>
      <c r="G1067" s="11">
        <v>-20.2</v>
      </c>
      <c r="H1067" s="11">
        <v>-16.3</v>
      </c>
      <c r="I1067" s="11">
        <v>-7.7</v>
      </c>
      <c r="J1067" s="11">
        <v>2.2999999999999998</v>
      </c>
      <c r="K1067" s="11">
        <v>9.4</v>
      </c>
      <c r="L1067" s="11">
        <v>12.8</v>
      </c>
      <c r="M1067" s="11">
        <v>11.6</v>
      </c>
      <c r="N1067" s="11">
        <v>5.2</v>
      </c>
      <c r="O1067" s="11">
        <v>-6.7</v>
      </c>
      <c r="P1067" s="11">
        <v>-16.7</v>
      </c>
      <c r="Q1067" s="11">
        <v>-20.3</v>
      </c>
      <c r="R1067" s="10">
        <v>-5.7</v>
      </c>
      <c r="S1067" s="12">
        <v>205</v>
      </c>
      <c r="T1067" s="8" t="s">
        <v>808</v>
      </c>
      <c r="U1067" s="11">
        <v>-46</v>
      </c>
      <c r="V1067" s="11">
        <v>-41</v>
      </c>
      <c r="W1067" s="11">
        <v>-44</v>
      </c>
      <c r="X1067" s="11">
        <v>-38</v>
      </c>
      <c r="Y1067" s="11">
        <v>-27</v>
      </c>
      <c r="Z1067" s="11">
        <v>-44</v>
      </c>
      <c r="AA1067" s="11">
        <v>9.1</v>
      </c>
      <c r="AB1067" s="11">
        <v>222</v>
      </c>
      <c r="AC1067" s="11">
        <v>-14.6</v>
      </c>
      <c r="AD1067" s="11">
        <v>280</v>
      </c>
      <c r="AE1067" s="11">
        <v>-10.7</v>
      </c>
      <c r="AF1067" s="11">
        <v>301</v>
      </c>
      <c r="AG1067" s="11">
        <v>-9.3000000000000007</v>
      </c>
      <c r="AH1067" s="11">
        <v>69</v>
      </c>
      <c r="AI1067" s="11">
        <v>69</v>
      </c>
      <c r="AJ1067" s="11">
        <v>77</v>
      </c>
      <c r="AK1067" s="11" t="s">
        <v>66</v>
      </c>
      <c r="AL1067" s="11">
        <v>7.6</v>
      </c>
      <c r="AM1067" s="10">
        <v>3</v>
      </c>
      <c r="AN1067" s="9">
        <v>205</v>
      </c>
      <c r="AO1067" s="8" t="s">
        <v>807</v>
      </c>
      <c r="AP1067" s="8">
        <v>975</v>
      </c>
      <c r="AQ1067" s="8">
        <v>17</v>
      </c>
      <c r="AR1067" s="8">
        <v>21.4</v>
      </c>
      <c r="AS1067" s="8">
        <v>19.399999999999999</v>
      </c>
      <c r="AT1067" s="8">
        <v>31</v>
      </c>
      <c r="AU1067" s="8">
        <v>13.1</v>
      </c>
      <c r="AV1067" s="8">
        <v>75</v>
      </c>
      <c r="AW1067" s="8">
        <v>58</v>
      </c>
      <c r="AX1067" s="8">
        <v>324</v>
      </c>
      <c r="AY1067" s="8">
        <v>57</v>
      </c>
      <c r="AZ1067" s="8" t="s">
        <v>43</v>
      </c>
      <c r="BA1067" s="7">
        <v>0</v>
      </c>
      <c r="BB1067" s="9">
        <v>180</v>
      </c>
      <c r="BC1067" s="8" t="s">
        <v>806</v>
      </c>
      <c r="BD1067" s="8">
        <v>0.9</v>
      </c>
      <c r="BE1067" s="8">
        <v>1</v>
      </c>
      <c r="BF1067" s="8">
        <v>1.2</v>
      </c>
      <c r="BG1067" s="8">
        <v>2.4</v>
      </c>
      <c r="BH1067" s="8">
        <v>4.7</v>
      </c>
      <c r="BI1067" s="8">
        <v>8</v>
      </c>
      <c r="BJ1067" s="8">
        <v>10.8</v>
      </c>
      <c r="BK1067" s="8">
        <v>10.199999999999999</v>
      </c>
      <c r="BL1067" s="8">
        <v>6.7</v>
      </c>
      <c r="BM1067" s="8">
        <v>2.9</v>
      </c>
      <c r="BN1067" s="8">
        <v>1.4</v>
      </c>
      <c r="BO1067" s="8">
        <v>1.1000000000000001</v>
      </c>
      <c r="BP1067" s="7">
        <v>4.3</v>
      </c>
    </row>
    <row r="1068" spans="1:68" ht="14.25" customHeight="1">
      <c r="A1068" s="12">
        <v>411</v>
      </c>
      <c r="B1068" s="14">
        <v>265</v>
      </c>
      <c r="C1068" s="13" t="s">
        <v>30</v>
      </c>
      <c r="D1068" s="13" t="s">
        <v>154</v>
      </c>
      <c r="E1068" s="13" t="s">
        <v>803</v>
      </c>
      <c r="F1068" s="11">
        <v>-13.4</v>
      </c>
      <c r="G1068" s="11">
        <v>-10.3</v>
      </c>
      <c r="H1068" s="11">
        <v>-3.1</v>
      </c>
      <c r="I1068" s="11">
        <v>5.0999999999999996</v>
      </c>
      <c r="J1068" s="11">
        <v>11.3</v>
      </c>
      <c r="K1068" s="11">
        <v>15.1</v>
      </c>
      <c r="L1068" s="11">
        <v>19.399999999999999</v>
      </c>
      <c r="M1068" s="11">
        <v>20.100000000000001</v>
      </c>
      <c r="N1068" s="11">
        <v>14.6</v>
      </c>
      <c r="O1068" s="11">
        <v>7.5</v>
      </c>
      <c r="P1068" s="11">
        <v>-2.2000000000000002</v>
      </c>
      <c r="Q1068" s="11">
        <v>-10.7</v>
      </c>
      <c r="R1068" s="10">
        <v>4.5</v>
      </c>
      <c r="S1068" s="12">
        <v>265</v>
      </c>
      <c r="T1068" s="8" t="s">
        <v>805</v>
      </c>
      <c r="U1068" s="11">
        <v>-26</v>
      </c>
      <c r="V1068" s="11">
        <v>-24</v>
      </c>
      <c r="W1068" s="11">
        <v>-23</v>
      </c>
      <c r="X1068" s="11">
        <v>-22</v>
      </c>
      <c r="Y1068" s="11">
        <v>-18</v>
      </c>
      <c r="Z1068" s="11">
        <v>-30</v>
      </c>
      <c r="AA1068" s="11">
        <v>9.9</v>
      </c>
      <c r="AB1068" s="11">
        <v>139</v>
      </c>
      <c r="AC1068" s="11">
        <v>-8.1999999999999993</v>
      </c>
      <c r="AD1068" s="11">
        <v>198</v>
      </c>
      <c r="AE1068" s="11">
        <v>-4.5</v>
      </c>
      <c r="AF1068" s="11">
        <v>216</v>
      </c>
      <c r="AG1068" s="11">
        <v>-3.4</v>
      </c>
      <c r="AH1068" s="11">
        <v>54</v>
      </c>
      <c r="AI1068" s="11">
        <v>47</v>
      </c>
      <c r="AJ1068" s="11">
        <v>128</v>
      </c>
      <c r="AK1068" s="11" t="s">
        <v>56</v>
      </c>
      <c r="AL1068" s="11">
        <v>8.4</v>
      </c>
      <c r="AM1068" s="10">
        <v>5</v>
      </c>
      <c r="AN1068" s="9">
        <v>265</v>
      </c>
      <c r="AO1068" s="8" t="s">
        <v>804</v>
      </c>
      <c r="AP1068" s="8">
        <v>990</v>
      </c>
      <c r="AQ1068" s="8">
        <v>23</v>
      </c>
      <c r="AR1068" s="8">
        <v>27.1</v>
      </c>
      <c r="AS1068" s="8">
        <v>25.4</v>
      </c>
      <c r="AT1068" s="8">
        <v>37</v>
      </c>
      <c r="AU1068" s="8">
        <v>9.1999999999999993</v>
      </c>
      <c r="AV1068" s="8">
        <v>83</v>
      </c>
      <c r="AW1068" s="8">
        <v>67</v>
      </c>
      <c r="AX1068" s="8">
        <v>666</v>
      </c>
      <c r="AY1068" s="8">
        <v>145</v>
      </c>
      <c r="AZ1068" s="8" t="s">
        <v>151</v>
      </c>
      <c r="BA1068" s="7">
        <v>0</v>
      </c>
      <c r="BB1068" s="9">
        <v>236</v>
      </c>
      <c r="BC1068" s="8" t="s">
        <v>803</v>
      </c>
      <c r="BD1068" s="8">
        <v>1.3</v>
      </c>
      <c r="BE1068" s="8">
        <v>1.7</v>
      </c>
      <c r="BF1068" s="8">
        <v>2.8</v>
      </c>
      <c r="BG1068" s="8">
        <v>5</v>
      </c>
      <c r="BH1068" s="8">
        <v>8.1999999999999993</v>
      </c>
      <c r="BI1068" s="8">
        <v>13.4</v>
      </c>
      <c r="BJ1068" s="8">
        <v>18.7</v>
      </c>
      <c r="BK1068" s="8">
        <v>19.2</v>
      </c>
      <c r="BL1068" s="8">
        <v>12.5</v>
      </c>
      <c r="BM1068" s="8">
        <v>6.8</v>
      </c>
      <c r="BN1068" s="8">
        <v>3.3</v>
      </c>
      <c r="BO1068" s="8">
        <v>1.8</v>
      </c>
      <c r="BP1068" s="7">
        <v>7.9</v>
      </c>
    </row>
    <row r="1069" spans="1:68" ht="14.25" customHeight="1">
      <c r="A1069" s="12">
        <v>412</v>
      </c>
      <c r="B1069" s="14">
        <v>576</v>
      </c>
      <c r="C1069" s="13" t="s">
        <v>135</v>
      </c>
      <c r="D1069" s="13" t="s">
        <v>227</v>
      </c>
      <c r="E1069" s="13" t="s">
        <v>801</v>
      </c>
      <c r="F1069" s="11">
        <v>-0.4</v>
      </c>
      <c r="G1069" s="11">
        <v>1.5</v>
      </c>
      <c r="H1069" s="11">
        <v>6.6</v>
      </c>
      <c r="I1069" s="11">
        <v>12.9</v>
      </c>
      <c r="J1069" s="11">
        <v>17.7</v>
      </c>
      <c r="K1069" s="11">
        <v>22.6</v>
      </c>
      <c r="L1069" s="11">
        <v>25.1</v>
      </c>
      <c r="M1069" s="11">
        <v>23.5</v>
      </c>
      <c r="N1069" s="11">
        <v>18.600000000000001</v>
      </c>
      <c r="O1069" s="11">
        <v>12.4</v>
      </c>
      <c r="P1069" s="11">
        <v>6.1</v>
      </c>
      <c r="Q1069" s="11">
        <v>1.9</v>
      </c>
      <c r="R1069" s="10">
        <v>12.4</v>
      </c>
      <c r="S1069" s="15"/>
      <c r="T1069" s="8" t="s">
        <v>802</v>
      </c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7"/>
      <c r="AN1069" s="9"/>
      <c r="AO1069" s="8" t="s">
        <v>802</v>
      </c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7"/>
      <c r="BB1069" s="9"/>
      <c r="BC1069" s="8" t="s">
        <v>801</v>
      </c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7"/>
    </row>
    <row r="1070" spans="1:68" ht="14.25" customHeight="1">
      <c r="A1070" s="12">
        <v>413</v>
      </c>
      <c r="B1070" s="14">
        <v>250</v>
      </c>
      <c r="C1070" s="13" t="s">
        <v>30</v>
      </c>
      <c r="D1070" s="13" t="s">
        <v>800</v>
      </c>
      <c r="E1070" s="13" t="s">
        <v>797</v>
      </c>
      <c r="F1070" s="11">
        <v>-12.2</v>
      </c>
      <c r="G1070" s="11">
        <v>-11.3</v>
      </c>
      <c r="H1070" s="11">
        <v>-5.6</v>
      </c>
      <c r="I1070" s="11">
        <v>4.9000000000000004</v>
      </c>
      <c r="J1070" s="11">
        <v>13.5</v>
      </c>
      <c r="K1070" s="11">
        <v>17.600000000000001</v>
      </c>
      <c r="L1070" s="11">
        <v>19.600000000000001</v>
      </c>
      <c r="M1070" s="11">
        <v>18</v>
      </c>
      <c r="N1070" s="11">
        <v>11.9</v>
      </c>
      <c r="O1070" s="11">
        <v>4.4000000000000004</v>
      </c>
      <c r="P1070" s="11">
        <v>-2.9</v>
      </c>
      <c r="Q1070" s="11">
        <v>-9.1</v>
      </c>
      <c r="R1070" s="10">
        <v>4.2</v>
      </c>
      <c r="S1070" s="12">
        <v>250</v>
      </c>
      <c r="T1070" s="8" t="s">
        <v>799</v>
      </c>
      <c r="U1070" s="11">
        <v>-35</v>
      </c>
      <c r="V1070" s="11">
        <v>-33</v>
      </c>
      <c r="W1070" s="11">
        <v>-32</v>
      </c>
      <c r="X1070" s="11">
        <v>-29</v>
      </c>
      <c r="Y1070" s="11">
        <v>-17</v>
      </c>
      <c r="Z1070" s="11">
        <v>-43</v>
      </c>
      <c r="AA1070" s="11">
        <v>7.1</v>
      </c>
      <c r="AB1070" s="11">
        <v>149</v>
      </c>
      <c r="AC1070" s="11">
        <v>-7.9</v>
      </c>
      <c r="AD1070" s="11">
        <v>207</v>
      </c>
      <c r="AE1070" s="11">
        <v>-4.5</v>
      </c>
      <c r="AF1070" s="11">
        <v>222</v>
      </c>
      <c r="AG1070" s="11">
        <v>-3.6</v>
      </c>
      <c r="AH1070" s="11">
        <v>84</v>
      </c>
      <c r="AI1070" s="11">
        <v>84</v>
      </c>
      <c r="AJ1070" s="11">
        <v>221</v>
      </c>
      <c r="AK1070" s="11" t="s">
        <v>34</v>
      </c>
      <c r="AL1070" s="11">
        <v>5.6</v>
      </c>
      <c r="AM1070" s="10">
        <v>4.8</v>
      </c>
      <c r="AN1070" s="9">
        <v>250</v>
      </c>
      <c r="AO1070" s="8" t="s">
        <v>798</v>
      </c>
      <c r="AP1070" s="8">
        <v>985</v>
      </c>
      <c r="AQ1070" s="8">
        <v>22.9</v>
      </c>
      <c r="AR1070" s="8">
        <v>27</v>
      </c>
      <c r="AS1070" s="8">
        <v>25.3</v>
      </c>
      <c r="AT1070" s="8">
        <v>39</v>
      </c>
      <c r="AU1070" s="8">
        <v>10.9</v>
      </c>
      <c r="AV1070" s="8">
        <v>67</v>
      </c>
      <c r="AW1070" s="8">
        <v>50</v>
      </c>
      <c r="AX1070" s="8">
        <v>378</v>
      </c>
      <c r="AY1070" s="8" t="s">
        <v>64</v>
      </c>
      <c r="AZ1070" s="8" t="s">
        <v>54</v>
      </c>
      <c r="BA1070" s="7" t="s">
        <v>46</v>
      </c>
      <c r="BB1070" s="9">
        <v>221</v>
      </c>
      <c r="BC1070" s="8" t="s">
        <v>797</v>
      </c>
      <c r="BD1070" s="8">
        <v>2.4</v>
      </c>
      <c r="BE1070" s="8">
        <v>2.5</v>
      </c>
      <c r="BF1070" s="8">
        <v>3.7</v>
      </c>
      <c r="BG1070" s="8">
        <v>6.3</v>
      </c>
      <c r="BH1070" s="8">
        <v>8.9</v>
      </c>
      <c r="BI1070" s="8">
        <v>12.4</v>
      </c>
      <c r="BJ1070" s="8">
        <v>14.8</v>
      </c>
      <c r="BK1070" s="8">
        <v>13.5</v>
      </c>
      <c r="BL1070" s="8">
        <v>9.8000000000000007</v>
      </c>
      <c r="BM1070" s="8">
        <v>6.6</v>
      </c>
      <c r="BN1070" s="8">
        <v>4.5999999999999996</v>
      </c>
      <c r="BO1070" s="8">
        <v>3.2</v>
      </c>
      <c r="BP1070" s="7">
        <v>7.4</v>
      </c>
    </row>
    <row r="1071" spans="1:68" ht="14.25" customHeight="1">
      <c r="A1071" s="12">
        <v>414</v>
      </c>
      <c r="B1071" s="14">
        <v>102</v>
      </c>
      <c r="C1071" s="13" t="s">
        <v>30</v>
      </c>
      <c r="D1071" s="13" t="s">
        <v>300</v>
      </c>
      <c r="E1071" s="13" t="s">
        <v>794</v>
      </c>
      <c r="F1071" s="11">
        <v>-26.5</v>
      </c>
      <c r="G1071" s="11">
        <v>-25</v>
      </c>
      <c r="H1071" s="11">
        <v>-15.4</v>
      </c>
      <c r="I1071" s="11">
        <v>-3.5</v>
      </c>
      <c r="J1071" s="11">
        <v>5.5</v>
      </c>
      <c r="K1071" s="11">
        <v>13.4</v>
      </c>
      <c r="L1071" s="11">
        <v>16.8</v>
      </c>
      <c r="M1071" s="11">
        <v>13.2</v>
      </c>
      <c r="N1071" s="11">
        <v>5.7</v>
      </c>
      <c r="O1071" s="11">
        <v>-3.9</v>
      </c>
      <c r="P1071" s="11">
        <v>-17.600000000000001</v>
      </c>
      <c r="Q1071" s="11">
        <v>-25.6</v>
      </c>
      <c r="R1071" s="10">
        <v>-5.2</v>
      </c>
      <c r="S1071" s="12">
        <v>102</v>
      </c>
      <c r="T1071" s="8" t="s">
        <v>796</v>
      </c>
      <c r="U1071" s="11">
        <v>-51</v>
      </c>
      <c r="V1071" s="11">
        <v>-50</v>
      </c>
      <c r="W1071" s="11">
        <v>-48</v>
      </c>
      <c r="X1071" s="11">
        <v>-46</v>
      </c>
      <c r="Y1071" s="11">
        <v>-31</v>
      </c>
      <c r="Z1071" s="11">
        <v>-56</v>
      </c>
      <c r="AA1071" s="11">
        <v>9.6</v>
      </c>
      <c r="AB1071" s="11">
        <v>206</v>
      </c>
      <c r="AC1071" s="11">
        <v>-16.899999999999999</v>
      </c>
      <c r="AD1071" s="11">
        <v>262</v>
      </c>
      <c r="AE1071" s="11">
        <v>-12.4</v>
      </c>
      <c r="AF1071" s="11">
        <v>277</v>
      </c>
      <c r="AG1071" s="11">
        <v>-11.2</v>
      </c>
      <c r="AH1071" s="11">
        <v>73</v>
      </c>
      <c r="AI1071" s="11">
        <v>71</v>
      </c>
      <c r="AJ1071" s="11">
        <v>41</v>
      </c>
      <c r="AK1071" s="11" t="s">
        <v>75</v>
      </c>
      <c r="AL1071" s="11" t="s">
        <v>44</v>
      </c>
      <c r="AM1071" s="10">
        <v>1.9</v>
      </c>
      <c r="AN1071" s="9">
        <v>102</v>
      </c>
      <c r="AO1071" s="8" t="s">
        <v>795</v>
      </c>
      <c r="AP1071" s="8">
        <v>970</v>
      </c>
      <c r="AQ1071" s="8">
        <v>22.5</v>
      </c>
      <c r="AR1071" s="8">
        <v>26.6</v>
      </c>
      <c r="AS1071" s="8">
        <v>24.9</v>
      </c>
      <c r="AT1071" s="8">
        <v>36</v>
      </c>
      <c r="AU1071" s="8">
        <v>15.7</v>
      </c>
      <c r="AV1071" s="8">
        <v>74</v>
      </c>
      <c r="AW1071" s="8">
        <v>54</v>
      </c>
      <c r="AX1071" s="8">
        <v>331</v>
      </c>
      <c r="AY1071" s="8">
        <v>48</v>
      </c>
      <c r="AZ1071" s="8" t="s">
        <v>54</v>
      </c>
      <c r="BA1071" s="7" t="s">
        <v>46</v>
      </c>
      <c r="BB1071" s="9">
        <v>86</v>
      </c>
      <c r="BC1071" s="8" t="s">
        <v>794</v>
      </c>
      <c r="BD1071" s="8">
        <v>0.6</v>
      </c>
      <c r="BE1071" s="8">
        <v>0.7</v>
      </c>
      <c r="BF1071" s="8">
        <v>1.4</v>
      </c>
      <c r="BG1071" s="8">
        <v>2.8</v>
      </c>
      <c r="BH1071" s="8">
        <v>5.2</v>
      </c>
      <c r="BI1071" s="8">
        <v>9.6999999999999993</v>
      </c>
      <c r="BJ1071" s="8">
        <v>13.3</v>
      </c>
      <c r="BK1071" s="8">
        <v>11.5</v>
      </c>
      <c r="BL1071" s="8">
        <v>6.9</v>
      </c>
      <c r="BM1071" s="8">
        <v>3.4</v>
      </c>
      <c r="BN1071" s="8">
        <v>1.4</v>
      </c>
      <c r="BO1071" s="8">
        <v>0.7</v>
      </c>
      <c r="BP1071" s="7">
        <v>4.8</v>
      </c>
    </row>
    <row r="1072" spans="1:68" ht="14.25" customHeight="1">
      <c r="A1072" s="12">
        <v>415</v>
      </c>
      <c r="B1072" s="14">
        <v>253</v>
      </c>
      <c r="C1072" s="13" t="s">
        <v>30</v>
      </c>
      <c r="D1072" s="13" t="s">
        <v>189</v>
      </c>
      <c r="E1072" s="13" t="s">
        <v>791</v>
      </c>
      <c r="F1072" s="11">
        <v>-17</v>
      </c>
      <c r="G1072" s="11">
        <v>-14.8</v>
      </c>
      <c r="H1072" s="11">
        <v>-7.9</v>
      </c>
      <c r="I1072" s="11">
        <v>1.4</v>
      </c>
      <c r="J1072" s="11">
        <v>8</v>
      </c>
      <c r="K1072" s="11">
        <v>14.4</v>
      </c>
      <c r="L1072" s="11">
        <v>16.899999999999999</v>
      </c>
      <c r="M1072" s="11">
        <v>14.3</v>
      </c>
      <c r="N1072" s="11">
        <v>8</v>
      </c>
      <c r="O1072" s="11">
        <v>-0.3</v>
      </c>
      <c r="P1072" s="11">
        <v>-8.3000000000000007</v>
      </c>
      <c r="Q1072" s="11">
        <v>-14.4</v>
      </c>
      <c r="R1072" s="10">
        <v>0</v>
      </c>
      <c r="S1072" s="12">
        <v>253</v>
      </c>
      <c r="T1072" s="8" t="s">
        <v>793</v>
      </c>
      <c r="U1072" s="11">
        <v>-42</v>
      </c>
      <c r="V1072" s="11">
        <v>-39</v>
      </c>
      <c r="W1072" s="11">
        <v>-38</v>
      </c>
      <c r="X1072" s="11">
        <v>-35</v>
      </c>
      <c r="Y1072" s="11">
        <v>-20</v>
      </c>
      <c r="Z1072" s="11">
        <v>-47</v>
      </c>
      <c r="AA1072" s="11">
        <v>7.1</v>
      </c>
      <c r="AB1072" s="11">
        <v>168</v>
      </c>
      <c r="AC1072" s="11">
        <v>-9.5</v>
      </c>
      <c r="AD1072" s="11">
        <v>229</v>
      </c>
      <c r="AE1072" s="11">
        <v>-5.9</v>
      </c>
      <c r="AF1072" s="11">
        <v>245</v>
      </c>
      <c r="AG1072" s="11">
        <v>-4.9000000000000004</v>
      </c>
      <c r="AH1072" s="11">
        <v>81</v>
      </c>
      <c r="AI1072" s="11">
        <v>78</v>
      </c>
      <c r="AJ1072" s="11">
        <v>192</v>
      </c>
      <c r="AK1072" s="11" t="s">
        <v>34</v>
      </c>
      <c r="AL1072" s="11">
        <v>5.2</v>
      </c>
      <c r="AM1072" s="10">
        <v>3.3</v>
      </c>
      <c r="AN1072" s="9">
        <v>253</v>
      </c>
      <c r="AO1072" s="8" t="s">
        <v>792</v>
      </c>
      <c r="AP1072" s="8">
        <v>990</v>
      </c>
      <c r="AQ1072" s="8">
        <v>21.5</v>
      </c>
      <c r="AR1072" s="8">
        <v>25.3</v>
      </c>
      <c r="AS1072" s="8">
        <v>23.4</v>
      </c>
      <c r="AT1072" s="8">
        <v>37</v>
      </c>
      <c r="AU1072" s="8">
        <v>10.9</v>
      </c>
      <c r="AV1072" s="8">
        <v>69</v>
      </c>
      <c r="AW1072" s="8">
        <v>57</v>
      </c>
      <c r="AX1072" s="8">
        <v>424</v>
      </c>
      <c r="AY1072" s="8">
        <v>72</v>
      </c>
      <c r="AZ1072" s="8" t="s">
        <v>32</v>
      </c>
      <c r="BA1072" s="7">
        <v>0</v>
      </c>
      <c r="BB1072" s="9">
        <v>224</v>
      </c>
      <c r="BC1072" s="8" t="s">
        <v>791</v>
      </c>
      <c r="BD1072" s="8">
        <v>1.9</v>
      </c>
      <c r="BE1072" s="8">
        <v>2</v>
      </c>
      <c r="BF1072" s="8">
        <v>3.1</v>
      </c>
      <c r="BG1072" s="8">
        <v>5.2</v>
      </c>
      <c r="BH1072" s="8">
        <v>7.6</v>
      </c>
      <c r="BI1072" s="8">
        <v>11.3</v>
      </c>
      <c r="BJ1072" s="8">
        <v>14</v>
      </c>
      <c r="BK1072" s="8">
        <v>12.7</v>
      </c>
      <c r="BL1072" s="8">
        <v>9.3000000000000007</v>
      </c>
      <c r="BM1072" s="8">
        <v>5.8</v>
      </c>
      <c r="BN1072" s="8">
        <v>3.7</v>
      </c>
      <c r="BO1072" s="8">
        <v>2.4</v>
      </c>
      <c r="BP1072" s="7">
        <v>6.6</v>
      </c>
    </row>
    <row r="1073" spans="1:68" ht="14.25" customHeight="1">
      <c r="A1073" s="12">
        <v>416</v>
      </c>
      <c r="B1073" s="14">
        <v>136</v>
      </c>
      <c r="C1073" s="13" t="s">
        <v>30</v>
      </c>
      <c r="D1073" s="13" t="s">
        <v>599</v>
      </c>
      <c r="E1073" s="13" t="s">
        <v>788</v>
      </c>
      <c r="F1073" s="11">
        <v>-11.1</v>
      </c>
      <c r="G1073" s="11">
        <v>-10.4</v>
      </c>
      <c r="H1073" s="11">
        <v>-5.4</v>
      </c>
      <c r="I1073" s="11">
        <v>1.3</v>
      </c>
      <c r="J1073" s="11">
        <v>7.6</v>
      </c>
      <c r="K1073" s="11">
        <v>13.6</v>
      </c>
      <c r="L1073" s="11">
        <v>15.7</v>
      </c>
      <c r="M1073" s="11">
        <v>14.1</v>
      </c>
      <c r="N1073" s="11">
        <v>8.9</v>
      </c>
      <c r="O1073" s="11">
        <v>2.9</v>
      </c>
      <c r="P1073" s="11">
        <v>-2.6</v>
      </c>
      <c r="Q1073" s="11">
        <v>-7.2</v>
      </c>
      <c r="R1073" s="10">
        <v>2.2999999999999998</v>
      </c>
      <c r="S1073" s="12">
        <v>136</v>
      </c>
      <c r="T1073" s="8" t="s">
        <v>790</v>
      </c>
      <c r="U1073" s="11">
        <v>-37</v>
      </c>
      <c r="V1073" s="11">
        <v>-34</v>
      </c>
      <c r="W1073" s="11">
        <v>-32</v>
      </c>
      <c r="X1073" s="11">
        <v>-29</v>
      </c>
      <c r="Y1073" s="11">
        <v>-16</v>
      </c>
      <c r="Z1073" s="11">
        <v>-38</v>
      </c>
      <c r="AA1073" s="11">
        <v>6.6</v>
      </c>
      <c r="AB1073" s="11">
        <v>160</v>
      </c>
      <c r="AC1073" s="11">
        <v>-6.7</v>
      </c>
      <c r="AD1073" s="11">
        <v>240</v>
      </c>
      <c r="AE1073" s="11">
        <v>-3.1</v>
      </c>
      <c r="AF1073" s="11">
        <v>261</v>
      </c>
      <c r="AG1073" s="11">
        <v>-2.1</v>
      </c>
      <c r="AH1073" s="11">
        <v>86</v>
      </c>
      <c r="AI1073" s="11">
        <v>84</v>
      </c>
      <c r="AJ1073" s="11">
        <v>169</v>
      </c>
      <c r="AK1073" s="11" t="s">
        <v>39</v>
      </c>
      <c r="AL1073" s="11">
        <v>5.9</v>
      </c>
      <c r="AM1073" s="10">
        <v>3.9</v>
      </c>
      <c r="AN1073" s="9">
        <v>136</v>
      </c>
      <c r="AO1073" s="8" t="s">
        <v>789</v>
      </c>
      <c r="AP1073" s="8">
        <v>1000</v>
      </c>
      <c r="AQ1073" s="8">
        <v>19</v>
      </c>
      <c r="AR1073" s="8">
        <v>22.8</v>
      </c>
      <c r="AS1073" s="8">
        <v>20.3</v>
      </c>
      <c r="AT1073" s="8">
        <v>33</v>
      </c>
      <c r="AU1073" s="8">
        <v>9</v>
      </c>
      <c r="AV1073" s="8">
        <v>74</v>
      </c>
      <c r="AW1073" s="8">
        <v>60</v>
      </c>
      <c r="AX1073" s="8">
        <v>589</v>
      </c>
      <c r="AY1073" s="8">
        <v>59</v>
      </c>
      <c r="AZ1073" s="8" t="s">
        <v>82</v>
      </c>
      <c r="BA1073" s="7">
        <v>3.2</v>
      </c>
      <c r="BB1073" s="9">
        <v>119</v>
      </c>
      <c r="BC1073" s="8" t="s">
        <v>788</v>
      </c>
      <c r="BD1073" s="8">
        <v>2.7</v>
      </c>
      <c r="BE1073" s="8">
        <v>2.7</v>
      </c>
      <c r="BF1073" s="8">
        <v>3.4</v>
      </c>
      <c r="BG1073" s="8">
        <v>4.8</v>
      </c>
      <c r="BH1073" s="8">
        <v>6.8</v>
      </c>
      <c r="BI1073" s="8">
        <v>10.4</v>
      </c>
      <c r="BJ1073" s="8">
        <v>13.2</v>
      </c>
      <c r="BK1073" s="8">
        <v>12.8</v>
      </c>
      <c r="BL1073" s="8">
        <v>9.6</v>
      </c>
      <c r="BM1073" s="8">
        <v>6.7</v>
      </c>
      <c r="BN1073" s="8">
        <v>4.7</v>
      </c>
      <c r="BO1073" s="8">
        <v>3.5</v>
      </c>
      <c r="BP1073" s="7">
        <v>6.8</v>
      </c>
    </row>
    <row r="1074" spans="1:68" ht="14.25" customHeight="1">
      <c r="A1074" s="12">
        <v>417</v>
      </c>
      <c r="B1074" s="14">
        <v>528</v>
      </c>
      <c r="C1074" s="13" t="s">
        <v>121</v>
      </c>
      <c r="D1074" s="13" t="s">
        <v>339</v>
      </c>
      <c r="E1074" s="13" t="s">
        <v>786</v>
      </c>
      <c r="F1074" s="11">
        <v>-18.100000000000001</v>
      </c>
      <c r="G1074" s="11">
        <v>-16.899999999999999</v>
      </c>
      <c r="H1074" s="11">
        <v>-10.3</v>
      </c>
      <c r="I1074" s="11">
        <v>2.4</v>
      </c>
      <c r="J1074" s="11">
        <v>11.6</v>
      </c>
      <c r="K1074" s="11">
        <v>17</v>
      </c>
      <c r="L1074" s="11">
        <v>18.899999999999999</v>
      </c>
      <c r="M1074" s="11">
        <v>16.2</v>
      </c>
      <c r="N1074" s="11">
        <v>10.7</v>
      </c>
      <c r="O1074" s="11">
        <v>1.9</v>
      </c>
      <c r="P1074" s="11">
        <v>-7.8</v>
      </c>
      <c r="Q1074" s="11">
        <v>-15.2</v>
      </c>
      <c r="R1074" s="10">
        <v>0.9</v>
      </c>
      <c r="S1074" s="12">
        <v>528</v>
      </c>
      <c r="T1074" s="8" t="s">
        <v>786</v>
      </c>
      <c r="U1074" s="11">
        <v>-40</v>
      </c>
      <c r="V1074" s="11">
        <v>-38</v>
      </c>
      <c r="W1074" s="11">
        <v>-39</v>
      </c>
      <c r="X1074" s="11">
        <v>-36</v>
      </c>
      <c r="Y1074" s="11">
        <v>-24</v>
      </c>
      <c r="Z1074" s="11">
        <v>-44</v>
      </c>
      <c r="AA1074" s="11">
        <v>9.1</v>
      </c>
      <c r="AB1074" s="11">
        <v>171</v>
      </c>
      <c r="AC1074" s="11">
        <v>-12.2</v>
      </c>
      <c r="AD1074" s="11">
        <v>218</v>
      </c>
      <c r="AE1074" s="11">
        <v>-8.6</v>
      </c>
      <c r="AF1074" s="11">
        <v>233</v>
      </c>
      <c r="AG1074" s="11">
        <v>-7.5</v>
      </c>
      <c r="AH1074" s="11">
        <v>81</v>
      </c>
      <c r="AI1074" s="11">
        <v>78</v>
      </c>
      <c r="AJ1074" s="11">
        <v>74</v>
      </c>
      <c r="AK1074" s="11" t="s">
        <v>39</v>
      </c>
      <c r="AL1074" s="11">
        <v>6.4</v>
      </c>
      <c r="AM1074" s="10">
        <v>5.7</v>
      </c>
      <c r="AN1074" s="9">
        <v>528</v>
      </c>
      <c r="AO1074" s="8" t="s">
        <v>787</v>
      </c>
      <c r="AP1074" s="8">
        <v>1000</v>
      </c>
      <c r="AQ1074" s="8">
        <v>24.4</v>
      </c>
      <c r="AR1074" s="8">
        <v>28.4</v>
      </c>
      <c r="AS1074" s="8">
        <v>24.9</v>
      </c>
      <c r="AT1074" s="8">
        <v>40</v>
      </c>
      <c r="AU1074" s="8">
        <v>11.9</v>
      </c>
      <c r="AV1074" s="8">
        <v>68</v>
      </c>
      <c r="AW1074" s="8">
        <v>53</v>
      </c>
      <c r="AX1074" s="8">
        <v>277</v>
      </c>
      <c r="AY1074" s="8" t="s">
        <v>499</v>
      </c>
      <c r="AZ1074" s="8" t="s">
        <v>54</v>
      </c>
      <c r="BA1074" s="7">
        <v>4.5999999999999996</v>
      </c>
      <c r="BB1074" s="9"/>
      <c r="BC1074" s="8" t="s">
        <v>786</v>
      </c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7"/>
    </row>
    <row r="1075" spans="1:68" ht="14.25" customHeight="1">
      <c r="A1075" s="12">
        <v>418</v>
      </c>
      <c r="B1075" s="14">
        <v>122</v>
      </c>
      <c r="C1075" s="13" t="s">
        <v>30</v>
      </c>
      <c r="D1075" s="13" t="s">
        <v>293</v>
      </c>
      <c r="E1075" s="13" t="s">
        <v>784</v>
      </c>
      <c r="F1075" s="11">
        <v>-7.5</v>
      </c>
      <c r="G1075" s="11">
        <v>-7.5</v>
      </c>
      <c r="H1075" s="11">
        <v>-4.8</v>
      </c>
      <c r="I1075" s="11">
        <v>-0.5</v>
      </c>
      <c r="J1075" s="11">
        <v>3.8</v>
      </c>
      <c r="K1075" s="11">
        <v>8.3000000000000007</v>
      </c>
      <c r="L1075" s="11">
        <v>12.2</v>
      </c>
      <c r="M1075" s="11">
        <v>13.2</v>
      </c>
      <c r="N1075" s="11">
        <v>10.1</v>
      </c>
      <c r="O1075" s="11">
        <v>4.8</v>
      </c>
      <c r="P1075" s="11">
        <v>-1.7</v>
      </c>
      <c r="Q1075" s="11">
        <v>-5.5</v>
      </c>
      <c r="R1075" s="10">
        <v>2.1</v>
      </c>
      <c r="S1075" s="12">
        <v>122</v>
      </c>
      <c r="T1075" s="8" t="s">
        <v>785</v>
      </c>
      <c r="U1075" s="11">
        <v>-26</v>
      </c>
      <c r="V1075" s="11">
        <v>-22</v>
      </c>
      <c r="W1075" s="11">
        <v>-22</v>
      </c>
      <c r="X1075" s="11">
        <v>-20</v>
      </c>
      <c r="Y1075" s="11">
        <v>-12</v>
      </c>
      <c r="Z1075" s="11">
        <v>-32</v>
      </c>
      <c r="AA1075" s="11">
        <v>5.5</v>
      </c>
      <c r="AB1075" s="11">
        <v>162</v>
      </c>
      <c r="AC1075" s="11">
        <v>-4.9000000000000004</v>
      </c>
      <c r="AD1075" s="11">
        <v>259</v>
      </c>
      <c r="AE1075" s="11">
        <v>1.6</v>
      </c>
      <c r="AF1075" s="11">
        <v>286</v>
      </c>
      <c r="AG1075" s="11">
        <v>-0.6</v>
      </c>
      <c r="AH1075" s="11">
        <v>67</v>
      </c>
      <c r="AI1075" s="11">
        <v>66</v>
      </c>
      <c r="AJ1075" s="11">
        <v>863</v>
      </c>
      <c r="AK1075" s="11" t="s">
        <v>75</v>
      </c>
      <c r="AL1075" s="11">
        <v>9</v>
      </c>
      <c r="AM1075" s="10">
        <v>2.9</v>
      </c>
      <c r="AN1075" s="9">
        <v>122</v>
      </c>
      <c r="AO1075" s="8" t="s">
        <v>784</v>
      </c>
      <c r="AP1075" s="8">
        <v>1000</v>
      </c>
      <c r="AQ1075" s="8">
        <v>14.4</v>
      </c>
      <c r="AR1075" s="8">
        <v>19.2</v>
      </c>
      <c r="AS1075" s="8">
        <v>16.8</v>
      </c>
      <c r="AT1075" s="8">
        <v>29</v>
      </c>
      <c r="AU1075" s="8">
        <v>6.2</v>
      </c>
      <c r="AV1075" s="8">
        <v>82</v>
      </c>
      <c r="AW1075" s="8">
        <v>75</v>
      </c>
      <c r="AX1075" s="8">
        <v>754</v>
      </c>
      <c r="AY1075" s="8">
        <v>207</v>
      </c>
      <c r="AZ1075" s="8" t="s">
        <v>25</v>
      </c>
      <c r="BA1075" s="7">
        <v>0</v>
      </c>
      <c r="BB1075" s="9">
        <v>106</v>
      </c>
      <c r="BC1075" s="8" t="s">
        <v>784</v>
      </c>
      <c r="BD1075" s="8">
        <v>2.6</v>
      </c>
      <c r="BE1075" s="8">
        <v>2.5</v>
      </c>
      <c r="BF1075" s="8">
        <v>3</v>
      </c>
      <c r="BG1075" s="8">
        <v>4.2</v>
      </c>
      <c r="BH1075" s="8">
        <v>6</v>
      </c>
      <c r="BI1075" s="8">
        <v>8.6999999999999993</v>
      </c>
      <c r="BJ1075" s="8">
        <v>11.8</v>
      </c>
      <c r="BK1075" s="8">
        <v>12.5</v>
      </c>
      <c r="BL1075" s="8">
        <v>9.6999999999999993</v>
      </c>
      <c r="BM1075" s="8">
        <v>6.1</v>
      </c>
      <c r="BN1075" s="8">
        <v>3.8</v>
      </c>
      <c r="BO1075" s="8">
        <v>2.9</v>
      </c>
      <c r="BP1075" s="7">
        <v>6.2</v>
      </c>
    </row>
    <row r="1076" spans="1:68" ht="14.25" customHeight="1">
      <c r="A1076" s="12">
        <v>419</v>
      </c>
      <c r="B1076" s="14">
        <v>153</v>
      </c>
      <c r="C1076" s="13" t="s">
        <v>30</v>
      </c>
      <c r="D1076" s="13" t="s">
        <v>280</v>
      </c>
      <c r="E1076" s="13" t="s">
        <v>781</v>
      </c>
      <c r="F1076" s="11">
        <v>-19.7</v>
      </c>
      <c r="G1076" s="11">
        <v>-18.8</v>
      </c>
      <c r="H1076" s="11">
        <v>-15.2</v>
      </c>
      <c r="I1076" s="11">
        <v>-6.5</v>
      </c>
      <c r="J1076" s="11">
        <v>-0.2</v>
      </c>
      <c r="K1076" s="11">
        <v>8.4</v>
      </c>
      <c r="L1076" s="11">
        <v>13.8</v>
      </c>
      <c r="M1076" s="11">
        <v>11</v>
      </c>
      <c r="N1076" s="11">
        <v>5.3</v>
      </c>
      <c r="O1076" s="11">
        <v>-3</v>
      </c>
      <c r="P1076" s="11">
        <v>-11.3</v>
      </c>
      <c r="Q1076" s="11">
        <v>-16.600000000000001</v>
      </c>
      <c r="R1076" s="10">
        <v>-4.4000000000000004</v>
      </c>
      <c r="S1076" s="12">
        <v>153</v>
      </c>
      <c r="T1076" s="8" t="s">
        <v>783</v>
      </c>
      <c r="U1076" s="11">
        <v>-49</v>
      </c>
      <c r="V1076" s="11">
        <v>-47</v>
      </c>
      <c r="W1076" s="11">
        <v>-45</v>
      </c>
      <c r="X1076" s="11">
        <v>-43</v>
      </c>
      <c r="Y1076" s="11">
        <v>-25</v>
      </c>
      <c r="Z1076" s="11">
        <v>-53</v>
      </c>
      <c r="AA1076" s="11">
        <v>9.3000000000000007</v>
      </c>
      <c r="AB1076" s="11">
        <v>224</v>
      </c>
      <c r="AC1076" s="11">
        <v>-12.2</v>
      </c>
      <c r="AD1076" s="11">
        <v>286</v>
      </c>
      <c r="AE1076" s="11">
        <v>-8.6</v>
      </c>
      <c r="AF1076" s="11">
        <v>307</v>
      </c>
      <c r="AG1076" s="11">
        <v>-7.4</v>
      </c>
      <c r="AH1076" s="11">
        <v>82</v>
      </c>
      <c r="AI1076" s="11">
        <v>82</v>
      </c>
      <c r="AJ1076" s="11">
        <v>124</v>
      </c>
      <c r="AK1076" s="11" t="s">
        <v>39</v>
      </c>
      <c r="AL1076" s="11" t="s">
        <v>44</v>
      </c>
      <c r="AM1076" s="10">
        <v>4.7</v>
      </c>
      <c r="AN1076" s="9">
        <v>153</v>
      </c>
      <c r="AO1076" s="8" t="s">
        <v>782</v>
      </c>
      <c r="AP1076" s="8">
        <v>1000</v>
      </c>
      <c r="AQ1076" s="8">
        <v>16.8</v>
      </c>
      <c r="AR1076" s="8">
        <v>21.2</v>
      </c>
      <c r="AS1076" s="8">
        <v>19.2</v>
      </c>
      <c r="AT1076" s="8">
        <v>33</v>
      </c>
      <c r="AU1076" s="8">
        <v>10.8</v>
      </c>
      <c r="AV1076" s="8">
        <v>72</v>
      </c>
      <c r="AW1076" s="8">
        <v>60</v>
      </c>
      <c r="AX1076" s="8">
        <v>349</v>
      </c>
      <c r="AY1076" s="8">
        <v>38</v>
      </c>
      <c r="AZ1076" s="8" t="s">
        <v>32</v>
      </c>
      <c r="BA1076" s="7" t="s">
        <v>46</v>
      </c>
      <c r="BB1076" s="9">
        <v>133</v>
      </c>
      <c r="BC1076" s="8" t="s">
        <v>781</v>
      </c>
      <c r="BD1076" s="8">
        <v>1.4</v>
      </c>
      <c r="BE1076" s="8">
        <v>1.4</v>
      </c>
      <c r="BF1076" s="8">
        <v>2</v>
      </c>
      <c r="BG1076" s="8">
        <v>3.5</v>
      </c>
      <c r="BH1076" s="8">
        <v>4.9000000000000004</v>
      </c>
      <c r="BI1076" s="8">
        <v>7.9</v>
      </c>
      <c r="BJ1076" s="8">
        <v>11.3</v>
      </c>
      <c r="BK1076" s="8">
        <v>10.7</v>
      </c>
      <c r="BL1076" s="8">
        <v>7.7</v>
      </c>
      <c r="BM1076" s="8">
        <v>4.5999999999999996</v>
      </c>
      <c r="BN1076" s="8">
        <v>2.7</v>
      </c>
      <c r="BO1076" s="8">
        <v>1.8</v>
      </c>
      <c r="BP1076" s="7">
        <v>5</v>
      </c>
    </row>
    <row r="1077" spans="1:68" ht="14.25" customHeight="1">
      <c r="A1077" s="12">
        <v>420</v>
      </c>
      <c r="B1077" s="14">
        <v>154</v>
      </c>
      <c r="C1077" s="13" t="s">
        <v>30</v>
      </c>
      <c r="D1077" s="13" t="s">
        <v>280</v>
      </c>
      <c r="E1077" s="13" t="s">
        <v>778</v>
      </c>
      <c r="F1077" s="11">
        <v>-19.5</v>
      </c>
      <c r="G1077" s="11">
        <v>-17.7</v>
      </c>
      <c r="H1077" s="11">
        <v>-11.6</v>
      </c>
      <c r="I1077" s="11">
        <v>-3.4</v>
      </c>
      <c r="J1077" s="11">
        <v>3.4</v>
      </c>
      <c r="K1077" s="11">
        <v>11.1</v>
      </c>
      <c r="L1077" s="11">
        <v>16</v>
      </c>
      <c r="M1077" s="11">
        <v>12.3</v>
      </c>
      <c r="N1077" s="11">
        <v>6.1</v>
      </c>
      <c r="O1077" s="11">
        <v>-2.5</v>
      </c>
      <c r="P1077" s="11">
        <v>-10.6</v>
      </c>
      <c r="Q1077" s="11">
        <v>-15.6</v>
      </c>
      <c r="R1077" s="10">
        <v>-2.7</v>
      </c>
      <c r="S1077" s="12">
        <v>154</v>
      </c>
      <c r="T1077" s="8" t="s">
        <v>780</v>
      </c>
      <c r="U1077" s="11">
        <v>-51</v>
      </c>
      <c r="V1077" s="11">
        <v>-48</v>
      </c>
      <c r="W1077" s="11">
        <v>-46</v>
      </c>
      <c r="X1077" s="11">
        <v>-43</v>
      </c>
      <c r="Y1077" s="11">
        <v>-25</v>
      </c>
      <c r="Z1077" s="11">
        <v>-55</v>
      </c>
      <c r="AA1077" s="11">
        <v>-8.4</v>
      </c>
      <c r="AB1077" s="11">
        <v>206</v>
      </c>
      <c r="AC1077" s="11">
        <v>-11.6</v>
      </c>
      <c r="AD1077" s="11">
        <v>270</v>
      </c>
      <c r="AE1077" s="11">
        <v>-7.9</v>
      </c>
      <c r="AF1077" s="11">
        <v>288</v>
      </c>
      <c r="AG1077" s="11">
        <v>-6.8</v>
      </c>
      <c r="AH1077" s="11">
        <v>82</v>
      </c>
      <c r="AI1077" s="11">
        <v>80</v>
      </c>
      <c r="AJ1077" s="11">
        <v>183</v>
      </c>
      <c r="AK1077" s="11" t="s">
        <v>27</v>
      </c>
      <c r="AL1077" s="11">
        <v>5.6</v>
      </c>
      <c r="AM1077" s="10">
        <v>3.8</v>
      </c>
      <c r="AN1077" s="9">
        <v>154</v>
      </c>
      <c r="AO1077" s="8" t="s">
        <v>779</v>
      </c>
      <c r="AP1077" s="8">
        <v>1000</v>
      </c>
      <c r="AQ1077" s="8">
        <v>18.3</v>
      </c>
      <c r="AR1077" s="8">
        <v>23.6</v>
      </c>
      <c r="AS1077" s="8">
        <v>21.7</v>
      </c>
      <c r="AT1077" s="8">
        <v>35</v>
      </c>
      <c r="AU1077" s="8">
        <v>10.8</v>
      </c>
      <c r="AV1077" s="8">
        <v>66</v>
      </c>
      <c r="AW1077" s="8">
        <v>52</v>
      </c>
      <c r="AX1077" s="8">
        <v>373</v>
      </c>
      <c r="AY1077" s="8">
        <v>49</v>
      </c>
      <c r="AZ1077" s="8" t="s">
        <v>32</v>
      </c>
      <c r="BA1077" s="7">
        <v>3.5</v>
      </c>
      <c r="BB1077" s="9">
        <v>134</v>
      </c>
      <c r="BC1077" s="8" t="s">
        <v>778</v>
      </c>
      <c r="BD1077" s="8">
        <v>1.5</v>
      </c>
      <c r="BE1077" s="8">
        <v>1.6</v>
      </c>
      <c r="BF1077" s="8">
        <v>2.4</v>
      </c>
      <c r="BG1077" s="8">
        <v>3.7</v>
      </c>
      <c r="BH1077" s="8">
        <v>5.3</v>
      </c>
      <c r="BI1077" s="8">
        <v>8.3000000000000007</v>
      </c>
      <c r="BJ1077" s="8">
        <v>11.9</v>
      </c>
      <c r="BK1077" s="8">
        <v>11</v>
      </c>
      <c r="BL1077" s="8">
        <v>8.1</v>
      </c>
      <c r="BM1077" s="8">
        <v>4.8</v>
      </c>
      <c r="BN1077" s="8">
        <v>2.9</v>
      </c>
      <c r="BO1077" s="8">
        <v>2</v>
      </c>
      <c r="BP1077" s="7">
        <v>5.3</v>
      </c>
    </row>
    <row r="1078" spans="1:68" ht="14.25" customHeight="1">
      <c r="A1078" s="12">
        <v>421</v>
      </c>
      <c r="B1078" s="14">
        <v>296</v>
      </c>
      <c r="C1078" s="13" t="s">
        <v>30</v>
      </c>
      <c r="D1078" s="13" t="s">
        <v>72</v>
      </c>
      <c r="E1078" s="13" t="s">
        <v>775</v>
      </c>
      <c r="F1078" s="11">
        <v>-20.7</v>
      </c>
      <c r="G1078" s="11">
        <v>-18.7</v>
      </c>
      <c r="H1078" s="11">
        <v>-12.6</v>
      </c>
      <c r="I1078" s="11">
        <v>-3.6</v>
      </c>
      <c r="J1078" s="11">
        <v>1.9</v>
      </c>
      <c r="K1078" s="11">
        <v>9</v>
      </c>
      <c r="L1078" s="11">
        <v>13.8</v>
      </c>
      <c r="M1078" s="11">
        <v>15.4</v>
      </c>
      <c r="N1078" s="11">
        <v>11.7</v>
      </c>
      <c r="O1078" s="11">
        <v>3.6</v>
      </c>
      <c r="P1078" s="11">
        <v>-7.3</v>
      </c>
      <c r="Q1078" s="11">
        <v>-16.7</v>
      </c>
      <c r="R1078" s="10">
        <v>-2</v>
      </c>
      <c r="S1078" s="12">
        <v>296</v>
      </c>
      <c r="T1078" s="8" t="s">
        <v>777</v>
      </c>
      <c r="U1078" s="11">
        <v>-34</v>
      </c>
      <c r="V1078" s="11">
        <v>-33</v>
      </c>
      <c r="W1078" s="11">
        <v>-32</v>
      </c>
      <c r="X1078" s="11">
        <v>-30</v>
      </c>
      <c r="Y1078" s="11">
        <v>-26</v>
      </c>
      <c r="Z1078" s="11">
        <v>-44</v>
      </c>
      <c r="AA1078" s="11">
        <v>8.4</v>
      </c>
      <c r="AB1078" s="11">
        <v>191</v>
      </c>
      <c r="AC1078" s="11">
        <v>-12.3</v>
      </c>
      <c r="AD1078" s="11">
        <v>255</v>
      </c>
      <c r="AE1078" s="11">
        <v>-8.1999999999999993</v>
      </c>
      <c r="AF1078" s="11">
        <v>273</v>
      </c>
      <c r="AG1078" s="11">
        <v>-7.1</v>
      </c>
      <c r="AH1078" s="11">
        <v>78</v>
      </c>
      <c r="AI1078" s="11">
        <v>74</v>
      </c>
      <c r="AJ1078" s="11">
        <v>145</v>
      </c>
      <c r="AK1078" s="11" t="s">
        <v>75</v>
      </c>
      <c r="AL1078" s="11" t="s">
        <v>44</v>
      </c>
      <c r="AM1078" s="10">
        <v>5.6</v>
      </c>
      <c r="AN1078" s="9">
        <v>290</v>
      </c>
      <c r="AO1078" s="8" t="s">
        <v>776</v>
      </c>
      <c r="AP1078" s="8">
        <v>1010</v>
      </c>
      <c r="AQ1078" s="8">
        <v>16.100000000000001</v>
      </c>
      <c r="AR1078" s="8">
        <v>20.6</v>
      </c>
      <c r="AS1078" s="8">
        <v>18.5</v>
      </c>
      <c r="AT1078" s="8">
        <v>27</v>
      </c>
      <c r="AU1078" s="8">
        <v>5.8</v>
      </c>
      <c r="AV1078" s="8">
        <v>88</v>
      </c>
      <c r="AW1078" s="8">
        <v>81</v>
      </c>
      <c r="AX1078" s="8">
        <v>425</v>
      </c>
      <c r="AY1078" s="8">
        <v>87</v>
      </c>
      <c r="AZ1078" s="8" t="s">
        <v>151</v>
      </c>
      <c r="BA1078" s="7" t="s">
        <v>46</v>
      </c>
      <c r="BB1078" s="9">
        <v>261</v>
      </c>
      <c r="BC1078" s="8" t="s">
        <v>775</v>
      </c>
      <c r="BD1078" s="8">
        <v>1.1000000000000001</v>
      </c>
      <c r="BE1078" s="8">
        <v>1.3</v>
      </c>
      <c r="BF1078" s="8">
        <v>2.2000000000000002</v>
      </c>
      <c r="BG1078" s="8">
        <v>4.2</v>
      </c>
      <c r="BH1078" s="8">
        <v>6.2</v>
      </c>
      <c r="BI1078" s="8">
        <v>10</v>
      </c>
      <c r="BJ1078" s="8">
        <v>14</v>
      </c>
      <c r="BK1078" s="8">
        <v>15.5</v>
      </c>
      <c r="BL1078" s="8">
        <v>11.6</v>
      </c>
      <c r="BM1078" s="8">
        <v>6.4</v>
      </c>
      <c r="BN1078" s="8">
        <v>2.9</v>
      </c>
      <c r="BO1078" s="8">
        <v>1.5</v>
      </c>
      <c r="BP1078" s="7">
        <v>6.4</v>
      </c>
    </row>
    <row r="1079" spans="1:68" ht="14.25" customHeight="1">
      <c r="A1079" s="12">
        <v>422</v>
      </c>
      <c r="B1079" s="14">
        <v>471</v>
      </c>
      <c r="C1079" s="13" t="s">
        <v>774</v>
      </c>
      <c r="D1079" s="13" t="s">
        <v>773</v>
      </c>
      <c r="E1079" s="13" t="s">
        <v>772</v>
      </c>
      <c r="F1079" s="11">
        <v>-7.3</v>
      </c>
      <c r="G1079" s="11">
        <v>-6.8</v>
      </c>
      <c r="H1079" s="11">
        <v>-2.5</v>
      </c>
      <c r="I1079" s="11">
        <v>5</v>
      </c>
      <c r="J1079" s="11">
        <v>12.3</v>
      </c>
      <c r="K1079" s="11">
        <v>15.8</v>
      </c>
      <c r="L1079" s="11">
        <v>17.5</v>
      </c>
      <c r="M1079" s="11">
        <v>16.100000000000001</v>
      </c>
      <c r="N1079" s="11">
        <v>11.1</v>
      </c>
      <c r="O1079" s="11">
        <v>5.5</v>
      </c>
      <c r="P1079" s="11">
        <v>0</v>
      </c>
      <c r="Q1079" s="11">
        <v>-4.5999999999999996</v>
      </c>
      <c r="R1079" s="10">
        <v>5.2</v>
      </c>
      <c r="S1079" s="12">
        <v>471</v>
      </c>
      <c r="T1079" s="8" t="s">
        <v>770</v>
      </c>
      <c r="U1079" s="11">
        <v>-35</v>
      </c>
      <c r="V1079" s="11">
        <v>-30</v>
      </c>
      <c r="W1079" s="11">
        <v>-29</v>
      </c>
      <c r="X1079" s="11">
        <v>-25</v>
      </c>
      <c r="Y1079" s="11">
        <v>-12</v>
      </c>
      <c r="Z1079" s="11">
        <v>-39</v>
      </c>
      <c r="AA1079" s="11">
        <v>6.3</v>
      </c>
      <c r="AB1079" s="11">
        <v>133</v>
      </c>
      <c r="AC1079" s="11">
        <v>5</v>
      </c>
      <c r="AD1079" s="11">
        <v>207</v>
      </c>
      <c r="AE1079" s="11">
        <v>-1.8</v>
      </c>
      <c r="AF1079" s="11">
        <v>225</v>
      </c>
      <c r="AG1079" s="11">
        <v>-0.9</v>
      </c>
      <c r="AH1079" s="11">
        <v>85</v>
      </c>
      <c r="AI1079" s="11">
        <v>82</v>
      </c>
      <c r="AJ1079" s="11">
        <v>202</v>
      </c>
      <c r="AK1079" s="11" t="s">
        <v>34</v>
      </c>
      <c r="AL1079" s="11">
        <v>4.0999999999999996</v>
      </c>
      <c r="AM1079" s="10">
        <v>3.8</v>
      </c>
      <c r="AN1079" s="9">
        <v>471</v>
      </c>
      <c r="AO1079" s="8" t="s">
        <v>771</v>
      </c>
      <c r="AP1079" s="8">
        <v>1000</v>
      </c>
      <c r="AQ1079" s="8">
        <v>21</v>
      </c>
      <c r="AR1079" s="8">
        <v>26</v>
      </c>
      <c r="AS1079" s="8">
        <v>23</v>
      </c>
      <c r="AT1079" s="8">
        <v>34</v>
      </c>
      <c r="AU1079" s="8">
        <v>10.6</v>
      </c>
      <c r="AV1079" s="8" t="s">
        <v>45</v>
      </c>
      <c r="AW1079" s="8">
        <v>60</v>
      </c>
      <c r="AX1079" s="8">
        <v>460</v>
      </c>
      <c r="AY1079" s="8">
        <v>64</v>
      </c>
      <c r="AZ1079" s="8" t="s">
        <v>43</v>
      </c>
      <c r="BA1079" s="7">
        <v>2.9</v>
      </c>
      <c r="BB1079" s="9"/>
      <c r="BC1079" s="8" t="s">
        <v>770</v>
      </c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7"/>
    </row>
    <row r="1080" spans="1:68" ht="14.25" customHeight="1">
      <c r="A1080" s="12">
        <v>423</v>
      </c>
      <c r="B1080" s="14">
        <v>633</v>
      </c>
      <c r="C1080" s="13" t="s">
        <v>52</v>
      </c>
      <c r="D1080" s="13" t="s">
        <v>769</v>
      </c>
      <c r="E1080" s="13" t="s">
        <v>767</v>
      </c>
      <c r="F1080" s="11">
        <v>-6.6</v>
      </c>
      <c r="G1080" s="11">
        <v>-5.3</v>
      </c>
      <c r="H1080" s="11">
        <v>-0.1</v>
      </c>
      <c r="I1080" s="11">
        <v>8.8000000000000007</v>
      </c>
      <c r="J1080" s="11">
        <v>15.4</v>
      </c>
      <c r="K1080" s="11">
        <v>18.7</v>
      </c>
      <c r="L1080" s="11">
        <v>20.100000000000001</v>
      </c>
      <c r="M1080" s="11">
        <v>19.399999999999999</v>
      </c>
      <c r="N1080" s="11">
        <v>14.3</v>
      </c>
      <c r="O1080" s="11">
        <v>7.6</v>
      </c>
      <c r="P1080" s="11">
        <v>1.5</v>
      </c>
      <c r="Q1080" s="11">
        <v>-3.1</v>
      </c>
      <c r="R1080" s="10">
        <v>7.6</v>
      </c>
      <c r="S1080" s="12">
        <v>622</v>
      </c>
      <c r="T1080" s="8" t="s">
        <v>767</v>
      </c>
      <c r="U1080" s="11">
        <v>-30</v>
      </c>
      <c r="V1080" s="11">
        <v>-27</v>
      </c>
      <c r="W1080" s="11">
        <v>-25</v>
      </c>
      <c r="X1080" s="11">
        <v>-23</v>
      </c>
      <c r="Y1080" s="11">
        <v>-11</v>
      </c>
      <c r="Z1080" s="11">
        <v>-34</v>
      </c>
      <c r="AA1080" s="11" t="s">
        <v>49</v>
      </c>
      <c r="AB1080" s="11">
        <v>112</v>
      </c>
      <c r="AC1080" s="11">
        <v>-4.3</v>
      </c>
      <c r="AD1080" s="11">
        <v>177</v>
      </c>
      <c r="AE1080" s="11">
        <v>-1.3</v>
      </c>
      <c r="AF1080" s="11">
        <v>193</v>
      </c>
      <c r="AG1080" s="11">
        <v>-0.5</v>
      </c>
      <c r="AH1080" s="11" t="s">
        <v>49</v>
      </c>
      <c r="AI1080" s="11" t="s">
        <v>49</v>
      </c>
      <c r="AJ1080" s="11">
        <v>215</v>
      </c>
      <c r="AK1080" s="11" t="s">
        <v>66</v>
      </c>
      <c r="AL1080" s="11" t="s">
        <v>44</v>
      </c>
      <c r="AM1080" s="10" t="s">
        <v>44</v>
      </c>
      <c r="AN1080" s="9">
        <v>623</v>
      </c>
      <c r="AO1080" s="8" t="s">
        <v>768</v>
      </c>
      <c r="AP1080" s="8">
        <v>995</v>
      </c>
      <c r="AQ1080" s="8">
        <v>29</v>
      </c>
      <c r="AR1080" s="8">
        <v>25</v>
      </c>
      <c r="AS1080" s="8">
        <v>26</v>
      </c>
      <c r="AT1080" s="8">
        <v>38</v>
      </c>
      <c r="AU1080" s="8" t="s">
        <v>46</v>
      </c>
      <c r="AV1080" s="8" t="s">
        <v>45</v>
      </c>
      <c r="AW1080" s="8" t="s">
        <v>44</v>
      </c>
      <c r="AX1080" s="8" t="s">
        <v>44</v>
      </c>
      <c r="AY1080" s="8">
        <v>178</v>
      </c>
      <c r="AZ1080" s="8" t="s">
        <v>43</v>
      </c>
      <c r="BA1080" s="7">
        <v>1.7</v>
      </c>
      <c r="BB1080" s="9"/>
      <c r="BC1080" s="8" t="s">
        <v>767</v>
      </c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7"/>
    </row>
    <row r="1081" spans="1:68" ht="14.25" customHeight="1">
      <c r="A1081" s="12">
        <v>424</v>
      </c>
      <c r="B1081" s="14">
        <v>391</v>
      </c>
      <c r="C1081" s="13" t="s">
        <v>30</v>
      </c>
      <c r="D1081" s="13" t="s">
        <v>204</v>
      </c>
      <c r="E1081" s="13" t="s">
        <v>764</v>
      </c>
      <c r="F1081" s="11">
        <v>-12.4</v>
      </c>
      <c r="G1081" s="11">
        <v>-11.7</v>
      </c>
      <c r="H1081" s="11">
        <v>-5.8</v>
      </c>
      <c r="I1081" s="11">
        <v>4.4000000000000004</v>
      </c>
      <c r="J1081" s="11">
        <v>12.9</v>
      </c>
      <c r="K1081" s="11">
        <v>17.2</v>
      </c>
      <c r="L1081" s="11">
        <v>19</v>
      </c>
      <c r="M1081" s="11">
        <v>17.2</v>
      </c>
      <c r="N1081" s="11">
        <v>11.2</v>
      </c>
      <c r="O1081" s="11">
        <v>3.6</v>
      </c>
      <c r="P1081" s="11">
        <v>-3.3</v>
      </c>
      <c r="Q1081" s="11">
        <v>-9.4</v>
      </c>
      <c r="R1081" s="10">
        <v>3.6</v>
      </c>
      <c r="S1081" s="12">
        <v>391</v>
      </c>
      <c r="T1081" s="8" t="s">
        <v>766</v>
      </c>
      <c r="U1081" s="11">
        <v>-40</v>
      </c>
      <c r="V1081" s="11">
        <v>-36</v>
      </c>
      <c r="W1081" s="11">
        <v>-35</v>
      </c>
      <c r="X1081" s="11">
        <v>-31</v>
      </c>
      <c r="Y1081" s="11">
        <v>-17</v>
      </c>
      <c r="Z1081" s="11">
        <v>-45</v>
      </c>
      <c r="AA1081" s="11">
        <v>7.4</v>
      </c>
      <c r="AB1081" s="11">
        <v>152</v>
      </c>
      <c r="AC1081" s="11">
        <v>-8</v>
      </c>
      <c r="AD1081" s="11">
        <v>212</v>
      </c>
      <c r="AE1081" s="11">
        <v>-4.5999999999999996</v>
      </c>
      <c r="AF1081" s="11">
        <v>227</v>
      </c>
      <c r="AG1081" s="11">
        <v>-3.7</v>
      </c>
      <c r="AH1081" s="11">
        <v>84</v>
      </c>
      <c r="AI1081" s="11">
        <v>82</v>
      </c>
      <c r="AJ1081" s="11">
        <v>192</v>
      </c>
      <c r="AK1081" s="11" t="s">
        <v>39</v>
      </c>
      <c r="AL1081" s="11">
        <v>6.4</v>
      </c>
      <c r="AM1081" s="10">
        <v>4.9000000000000004</v>
      </c>
      <c r="AN1081" s="9">
        <v>391</v>
      </c>
      <c r="AO1081" s="8" t="s">
        <v>765</v>
      </c>
      <c r="AP1081" s="8">
        <v>995</v>
      </c>
      <c r="AQ1081" s="8">
        <v>23.3</v>
      </c>
      <c r="AR1081" s="8">
        <v>26.5</v>
      </c>
      <c r="AS1081" s="8">
        <v>24.7</v>
      </c>
      <c r="AT1081" s="8">
        <v>38</v>
      </c>
      <c r="AU1081" s="8">
        <v>11.2</v>
      </c>
      <c r="AV1081" s="8">
        <v>72</v>
      </c>
      <c r="AW1081" s="8">
        <v>56</v>
      </c>
      <c r="AX1081" s="8">
        <v>383</v>
      </c>
      <c r="AY1081" s="8">
        <v>108</v>
      </c>
      <c r="AZ1081" s="8" t="s">
        <v>82</v>
      </c>
      <c r="BA1081" s="7">
        <v>0</v>
      </c>
      <c r="BB1081" s="9">
        <v>355</v>
      </c>
      <c r="BC1081" s="8" t="s">
        <v>764</v>
      </c>
      <c r="BD1081" s="8">
        <v>2.4</v>
      </c>
      <c r="BE1081" s="8">
        <v>2.4</v>
      </c>
      <c r="BF1081" s="8">
        <v>3.5</v>
      </c>
      <c r="BG1081" s="8">
        <v>6.3</v>
      </c>
      <c r="BH1081" s="8">
        <v>9</v>
      </c>
      <c r="BI1081" s="8">
        <v>12.6</v>
      </c>
      <c r="BJ1081" s="8">
        <v>15.3</v>
      </c>
      <c r="BK1081" s="8">
        <v>14</v>
      </c>
      <c r="BL1081" s="8">
        <v>10.1</v>
      </c>
      <c r="BM1081" s="8">
        <v>6.6</v>
      </c>
      <c r="BN1081" s="8">
        <v>4.5</v>
      </c>
      <c r="BO1081" s="8">
        <v>3.1</v>
      </c>
      <c r="BP1081" s="7">
        <v>7.5</v>
      </c>
    </row>
    <row r="1082" spans="1:68" ht="14.25" customHeight="1">
      <c r="A1082" s="12">
        <v>425</v>
      </c>
      <c r="B1082" s="14">
        <v>297</v>
      </c>
      <c r="C1082" s="13" t="s">
        <v>30</v>
      </c>
      <c r="D1082" s="13" t="s">
        <v>72</v>
      </c>
      <c r="E1082" s="13" t="s">
        <v>761</v>
      </c>
      <c r="F1082" s="11">
        <v>-17.3</v>
      </c>
      <c r="G1082" s="11">
        <v>-14.4</v>
      </c>
      <c r="H1082" s="11">
        <v>-8</v>
      </c>
      <c r="I1082" s="11">
        <v>-0.3</v>
      </c>
      <c r="J1082" s="11">
        <v>4.4000000000000004</v>
      </c>
      <c r="K1082" s="11">
        <v>8.9</v>
      </c>
      <c r="L1082" s="11">
        <v>13.6</v>
      </c>
      <c r="M1082" s="11">
        <v>15.7</v>
      </c>
      <c r="N1082" s="11">
        <v>12.2</v>
      </c>
      <c r="O1082" s="11">
        <v>5.0999999999999996</v>
      </c>
      <c r="P1082" s="11">
        <v>-4.8</v>
      </c>
      <c r="Q1082" s="11">
        <v>-13.5</v>
      </c>
      <c r="R1082" s="10">
        <v>0.1</v>
      </c>
      <c r="S1082" s="12">
        <v>297</v>
      </c>
      <c r="T1082" s="8" t="s">
        <v>763</v>
      </c>
      <c r="U1082" s="11">
        <v>-34</v>
      </c>
      <c r="V1082" s="11">
        <v>-31</v>
      </c>
      <c r="W1082" s="11">
        <v>-30</v>
      </c>
      <c r="X1082" s="11">
        <v>-28</v>
      </c>
      <c r="Y1082" s="11">
        <v>-22</v>
      </c>
      <c r="Z1082" s="11">
        <v>-40</v>
      </c>
      <c r="AA1082" s="11">
        <v>9.5</v>
      </c>
      <c r="AB1082" s="11">
        <v>168</v>
      </c>
      <c r="AC1082" s="11">
        <v>-10.199999999999999</v>
      </c>
      <c r="AD1082" s="11">
        <v>249</v>
      </c>
      <c r="AE1082" s="11">
        <v>-5.5</v>
      </c>
      <c r="AF1082" s="11">
        <v>271</v>
      </c>
      <c r="AG1082" s="11">
        <v>-4.4000000000000004</v>
      </c>
      <c r="AH1082" s="11">
        <v>69</v>
      </c>
      <c r="AI1082" s="11">
        <v>64</v>
      </c>
      <c r="AJ1082" s="11">
        <v>194</v>
      </c>
      <c r="AK1082" s="11" t="s">
        <v>56</v>
      </c>
      <c r="AL1082" s="11">
        <v>4.8</v>
      </c>
      <c r="AM1082" s="10">
        <v>3.7</v>
      </c>
      <c r="AN1082" s="9">
        <v>291</v>
      </c>
      <c r="AO1082" s="8" t="s">
        <v>762</v>
      </c>
      <c r="AP1082" s="8">
        <v>1010</v>
      </c>
      <c r="AQ1082" s="8">
        <v>16.3</v>
      </c>
      <c r="AR1082" s="8">
        <v>20.3</v>
      </c>
      <c r="AS1082" s="8">
        <v>19.399999999999999</v>
      </c>
      <c r="AT1082" s="8">
        <v>36</v>
      </c>
      <c r="AU1082" s="8">
        <v>7</v>
      </c>
      <c r="AV1082" s="8">
        <v>87</v>
      </c>
      <c r="AW1082" s="8">
        <v>83</v>
      </c>
      <c r="AX1082" s="8">
        <v>598</v>
      </c>
      <c r="AY1082" s="8">
        <v>135</v>
      </c>
      <c r="AZ1082" s="8" t="s">
        <v>151</v>
      </c>
      <c r="BA1082" s="7">
        <v>0</v>
      </c>
      <c r="BB1082" s="9">
        <v>262</v>
      </c>
      <c r="BC1082" s="8" t="s">
        <v>761</v>
      </c>
      <c r="BD1082" s="8">
        <v>1.3</v>
      </c>
      <c r="BE1082" s="8">
        <v>1.5</v>
      </c>
      <c r="BF1082" s="8">
        <v>2.6</v>
      </c>
      <c r="BG1082" s="8">
        <v>4.8</v>
      </c>
      <c r="BH1082" s="8">
        <v>6.9</v>
      </c>
      <c r="BI1082" s="8">
        <v>10.1</v>
      </c>
      <c r="BJ1082" s="8">
        <v>14</v>
      </c>
      <c r="BK1082" s="8">
        <v>15.3</v>
      </c>
      <c r="BL1082" s="8">
        <v>11.5</v>
      </c>
      <c r="BM1082" s="8">
        <v>6.7</v>
      </c>
      <c r="BN1082" s="8">
        <v>3.3</v>
      </c>
      <c r="BO1082" s="8">
        <v>1.8</v>
      </c>
      <c r="BP1082" s="7">
        <v>6.7</v>
      </c>
    </row>
    <row r="1083" spans="1:68" ht="14.25" customHeight="1">
      <c r="A1083" s="12">
        <v>426</v>
      </c>
      <c r="B1083" s="14">
        <v>266</v>
      </c>
      <c r="C1083" s="13" t="s">
        <v>30</v>
      </c>
      <c r="D1083" s="13" t="s">
        <v>154</v>
      </c>
      <c r="E1083" s="13" t="s">
        <v>758</v>
      </c>
      <c r="F1083" s="11">
        <v>-10.6</v>
      </c>
      <c r="G1083" s="11">
        <v>-8</v>
      </c>
      <c r="H1083" s="11">
        <v>-1.6</v>
      </c>
      <c r="I1083" s="11">
        <v>5.3</v>
      </c>
      <c r="J1083" s="11">
        <v>10.5</v>
      </c>
      <c r="K1083" s="11">
        <v>14.3</v>
      </c>
      <c r="L1083" s="11">
        <v>18.8</v>
      </c>
      <c r="M1083" s="11">
        <v>20.9</v>
      </c>
      <c r="N1083" s="11">
        <v>16.600000000000001</v>
      </c>
      <c r="O1083" s="11">
        <v>9.6</v>
      </c>
      <c r="P1083" s="11">
        <v>0.3</v>
      </c>
      <c r="Q1083" s="11">
        <v>-7.8</v>
      </c>
      <c r="R1083" s="10">
        <v>5.7</v>
      </c>
      <c r="S1083" s="12">
        <v>266</v>
      </c>
      <c r="T1083" s="8" t="s">
        <v>760</v>
      </c>
      <c r="U1083" s="11">
        <v>-23</v>
      </c>
      <c r="V1083" s="11">
        <v>-22</v>
      </c>
      <c r="W1083" s="11">
        <v>-20</v>
      </c>
      <c r="X1083" s="11">
        <v>-19</v>
      </c>
      <c r="Y1083" s="11">
        <v>-16</v>
      </c>
      <c r="Z1083" s="11">
        <v>-27</v>
      </c>
      <c r="AA1083" s="11">
        <v>8.4</v>
      </c>
      <c r="AB1083" s="11">
        <v>126</v>
      </c>
      <c r="AC1083" s="11">
        <v>-6.5</v>
      </c>
      <c r="AD1083" s="11">
        <v>192</v>
      </c>
      <c r="AE1083" s="11">
        <v>-2.9</v>
      </c>
      <c r="AF1083" s="11">
        <v>211</v>
      </c>
      <c r="AG1083" s="11">
        <v>-1.8</v>
      </c>
      <c r="AH1083" s="11">
        <v>52</v>
      </c>
      <c r="AI1083" s="11">
        <v>46</v>
      </c>
      <c r="AJ1083" s="11">
        <v>66</v>
      </c>
      <c r="AK1083" s="11" t="s">
        <v>48</v>
      </c>
      <c r="AL1083" s="11" t="s">
        <v>44</v>
      </c>
      <c r="AM1083" s="10">
        <v>5</v>
      </c>
      <c r="AN1083" s="9">
        <v>266</v>
      </c>
      <c r="AO1083" s="8" t="s">
        <v>759</v>
      </c>
      <c r="AP1083" s="8">
        <v>1005</v>
      </c>
      <c r="AQ1083" s="8">
        <v>22.3</v>
      </c>
      <c r="AR1083" s="8">
        <v>26.5</v>
      </c>
      <c r="AS1083" s="8">
        <v>24.7</v>
      </c>
      <c r="AT1083" s="8">
        <v>36</v>
      </c>
      <c r="AU1083" s="8">
        <v>6.3</v>
      </c>
      <c r="AV1083" s="8">
        <v>87</v>
      </c>
      <c r="AW1083" s="8">
        <v>84</v>
      </c>
      <c r="AX1083" s="8">
        <v>609</v>
      </c>
      <c r="AY1083" s="8">
        <v>198</v>
      </c>
      <c r="AZ1083" s="8" t="s">
        <v>63</v>
      </c>
      <c r="BA1083" s="7" t="s">
        <v>46</v>
      </c>
      <c r="BB1083" s="9">
        <v>237</v>
      </c>
      <c r="BC1083" s="8" t="s">
        <v>758</v>
      </c>
      <c r="BD1083" s="8">
        <v>1.6</v>
      </c>
      <c r="BE1083" s="8">
        <v>2</v>
      </c>
      <c r="BF1083" s="8">
        <v>3.4</v>
      </c>
      <c r="BG1083" s="8">
        <v>5.8</v>
      </c>
      <c r="BH1083" s="8">
        <v>9.3000000000000007</v>
      </c>
      <c r="BI1083" s="8">
        <v>14.3</v>
      </c>
      <c r="BJ1083" s="8">
        <v>19.8</v>
      </c>
      <c r="BK1083" s="8">
        <v>21.6</v>
      </c>
      <c r="BL1083" s="8">
        <v>14.7</v>
      </c>
      <c r="BM1083" s="8">
        <v>8.1999999999999993</v>
      </c>
      <c r="BN1083" s="8">
        <v>4</v>
      </c>
      <c r="BO1083" s="8">
        <v>2</v>
      </c>
      <c r="BP1083" s="7">
        <v>8.9</v>
      </c>
    </row>
    <row r="1084" spans="1:68" ht="14.25" customHeight="1">
      <c r="A1084" s="12">
        <v>427</v>
      </c>
      <c r="B1084" s="14">
        <v>484</v>
      </c>
      <c r="C1084" s="13" t="s">
        <v>105</v>
      </c>
      <c r="D1084" s="13" t="s">
        <v>105</v>
      </c>
      <c r="E1084" s="13" t="s">
        <v>757</v>
      </c>
      <c r="F1084" s="11">
        <v>5.8</v>
      </c>
      <c r="G1084" s="11">
        <v>6.7</v>
      </c>
      <c r="H1084" s="11">
        <v>8.8000000000000007</v>
      </c>
      <c r="I1084" s="11">
        <v>12.6</v>
      </c>
      <c r="J1084" s="11">
        <v>16.399999999999999</v>
      </c>
      <c r="K1084" s="11">
        <v>20.3</v>
      </c>
      <c r="L1084" s="11">
        <v>22.7</v>
      </c>
      <c r="M1084" s="11">
        <v>22.8</v>
      </c>
      <c r="N1084" s="11">
        <v>19.8</v>
      </c>
      <c r="O1084" s="11">
        <v>15.5</v>
      </c>
      <c r="P1084" s="11">
        <v>11.5</v>
      </c>
      <c r="Q1084" s="11">
        <v>7.9</v>
      </c>
      <c r="R1084" s="10">
        <v>14.2</v>
      </c>
      <c r="S1084" s="12">
        <v>484</v>
      </c>
      <c r="T1084" s="8" t="s">
        <v>755</v>
      </c>
      <c r="U1084" s="11">
        <v>-8</v>
      </c>
      <c r="V1084" s="11">
        <v>-6</v>
      </c>
      <c r="W1084" s="11">
        <v>-6</v>
      </c>
      <c r="X1084" s="11">
        <v>-3</v>
      </c>
      <c r="Y1084" s="11">
        <v>3</v>
      </c>
      <c r="Z1084" s="11">
        <v>-13</v>
      </c>
      <c r="AA1084" s="11">
        <v>6.7</v>
      </c>
      <c r="AB1084" s="11">
        <v>0</v>
      </c>
      <c r="AC1084" s="11" t="s">
        <v>50</v>
      </c>
      <c r="AD1084" s="11">
        <v>82</v>
      </c>
      <c r="AE1084" s="11">
        <v>6.5</v>
      </c>
      <c r="AF1084" s="11">
        <v>119</v>
      </c>
      <c r="AG1084" s="11">
        <v>7.4</v>
      </c>
      <c r="AH1084" s="11" t="s">
        <v>49</v>
      </c>
      <c r="AI1084" s="11">
        <v>64</v>
      </c>
      <c r="AJ1084" s="11">
        <v>723</v>
      </c>
      <c r="AK1084" s="11" t="s">
        <v>66</v>
      </c>
      <c r="AL1084" s="11" t="s">
        <v>44</v>
      </c>
      <c r="AM1084" s="10">
        <v>6.1</v>
      </c>
      <c r="AN1084" s="9">
        <v>484</v>
      </c>
      <c r="AO1084" s="8" t="s">
        <v>756</v>
      </c>
      <c r="AP1084" s="8" t="s">
        <v>64</v>
      </c>
      <c r="AQ1084" s="8">
        <v>25</v>
      </c>
      <c r="AR1084" s="8">
        <v>32</v>
      </c>
      <c r="AS1084" s="8">
        <v>30.1</v>
      </c>
      <c r="AT1084" s="8">
        <v>39</v>
      </c>
      <c r="AU1084" s="8">
        <v>7.1</v>
      </c>
      <c r="AV1084" s="8">
        <v>84</v>
      </c>
      <c r="AW1084" s="8">
        <v>74</v>
      </c>
      <c r="AX1084" s="8" t="s">
        <v>44</v>
      </c>
      <c r="AY1084" s="8">
        <v>223</v>
      </c>
      <c r="AZ1084" s="8" t="s">
        <v>82</v>
      </c>
      <c r="BA1084" s="7">
        <v>1</v>
      </c>
      <c r="BB1084" s="9"/>
      <c r="BC1084" s="8" t="s">
        <v>755</v>
      </c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7"/>
    </row>
    <row r="1085" spans="1:68" ht="14.25" customHeight="1">
      <c r="A1085" s="12">
        <v>428</v>
      </c>
      <c r="B1085" s="14">
        <v>27</v>
      </c>
      <c r="C1085" s="13" t="s">
        <v>30</v>
      </c>
      <c r="D1085" s="13" t="s">
        <v>99</v>
      </c>
      <c r="E1085" s="13" t="s">
        <v>752</v>
      </c>
      <c r="F1085" s="11">
        <v>-26.9</v>
      </c>
      <c r="G1085" s="11">
        <v>-21.6</v>
      </c>
      <c r="H1085" s="11">
        <v>-11.5</v>
      </c>
      <c r="I1085" s="11">
        <v>2.1</v>
      </c>
      <c r="J1085" s="11">
        <v>10.4</v>
      </c>
      <c r="K1085" s="11">
        <v>17.100000000000001</v>
      </c>
      <c r="L1085" s="11">
        <v>20.9</v>
      </c>
      <c r="M1085" s="11">
        <v>18.8</v>
      </c>
      <c r="N1085" s="11">
        <v>11.9</v>
      </c>
      <c r="O1085" s="11">
        <v>1.8</v>
      </c>
      <c r="P1085" s="11">
        <v>-12.4</v>
      </c>
      <c r="Q1085" s="11">
        <v>-23.7</v>
      </c>
      <c r="R1085" s="10">
        <v>-1.1000000000000001</v>
      </c>
      <c r="S1085" s="12">
        <v>27</v>
      </c>
      <c r="T1085" s="8" t="s">
        <v>754</v>
      </c>
      <c r="U1085" s="11">
        <v>-43</v>
      </c>
      <c r="V1085" s="11">
        <v>-40</v>
      </c>
      <c r="W1085" s="11">
        <v>-39</v>
      </c>
      <c r="X1085" s="11">
        <v>-37</v>
      </c>
      <c r="Y1085" s="11">
        <v>-32</v>
      </c>
      <c r="Z1085" s="11">
        <v>-50</v>
      </c>
      <c r="AA1085" s="11">
        <v>12.5</v>
      </c>
      <c r="AB1085" s="11">
        <v>173</v>
      </c>
      <c r="AC1085" s="11">
        <v>-16.5</v>
      </c>
      <c r="AD1085" s="11">
        <v>222</v>
      </c>
      <c r="AE1085" s="11">
        <v>-11.9</v>
      </c>
      <c r="AF1085" s="11">
        <v>235</v>
      </c>
      <c r="AG1085" s="11">
        <v>-10.7</v>
      </c>
      <c r="AH1085" s="11">
        <v>76</v>
      </c>
      <c r="AI1085" s="11">
        <v>70</v>
      </c>
      <c r="AJ1085" s="11">
        <v>53</v>
      </c>
      <c r="AK1085" s="11" t="s">
        <v>48</v>
      </c>
      <c r="AL1085" s="11">
        <v>3.4</v>
      </c>
      <c r="AM1085" s="10" t="s">
        <v>44</v>
      </c>
      <c r="AN1085" s="9">
        <v>27</v>
      </c>
      <c r="AO1085" s="8" t="s">
        <v>753</v>
      </c>
      <c r="AP1085" s="8">
        <v>995</v>
      </c>
      <c r="AQ1085" s="8">
        <v>24.2</v>
      </c>
      <c r="AR1085" s="8">
        <v>28.3</v>
      </c>
      <c r="AS1085" s="8">
        <v>26.6</v>
      </c>
      <c r="AT1085" s="8">
        <v>40</v>
      </c>
      <c r="AU1085" s="8">
        <v>11.5</v>
      </c>
      <c r="AV1085" s="8">
        <v>80</v>
      </c>
      <c r="AW1085" s="8">
        <v>64</v>
      </c>
      <c r="AX1085" s="8">
        <v>446</v>
      </c>
      <c r="AY1085" s="8">
        <v>94</v>
      </c>
      <c r="AZ1085" s="8" t="s">
        <v>63</v>
      </c>
      <c r="BA1085" s="7">
        <v>0</v>
      </c>
      <c r="BB1085" s="9"/>
      <c r="BC1085" s="8" t="s">
        <v>752</v>
      </c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7"/>
    </row>
    <row r="1086" spans="1:68" ht="14.25" customHeight="1">
      <c r="A1086" s="12">
        <v>429</v>
      </c>
      <c r="B1086" s="14">
        <v>267</v>
      </c>
      <c r="C1086" s="13" t="s">
        <v>30</v>
      </c>
      <c r="D1086" s="13" t="s">
        <v>154</v>
      </c>
      <c r="E1086" s="13" t="s">
        <v>749</v>
      </c>
      <c r="F1086" s="11">
        <v>-8.6999999999999993</v>
      </c>
      <c r="G1086" s="11">
        <v>-6.7</v>
      </c>
      <c r="H1086" s="11">
        <v>-1.4</v>
      </c>
      <c r="I1086" s="11">
        <v>4.2</v>
      </c>
      <c r="J1086" s="11">
        <v>8.4</v>
      </c>
      <c r="K1086" s="11">
        <v>11.8</v>
      </c>
      <c r="L1086" s="11">
        <v>16.600000000000001</v>
      </c>
      <c r="M1086" s="11">
        <v>19.2</v>
      </c>
      <c r="N1086" s="11">
        <v>15.6</v>
      </c>
      <c r="O1086" s="11">
        <v>9.1999999999999993</v>
      </c>
      <c r="P1086" s="11">
        <v>1.1000000000000001</v>
      </c>
      <c r="Q1086" s="11">
        <v>-6.3</v>
      </c>
      <c r="R1086" s="10">
        <v>5.3</v>
      </c>
      <c r="S1086" s="12">
        <v>267</v>
      </c>
      <c r="T1086" s="8" t="s">
        <v>751</v>
      </c>
      <c r="U1086" s="11">
        <v>-23</v>
      </c>
      <c r="V1086" s="11">
        <v>-21</v>
      </c>
      <c r="W1086" s="11">
        <v>-18</v>
      </c>
      <c r="X1086" s="11">
        <v>-17</v>
      </c>
      <c r="Y1086" s="11">
        <v>-14</v>
      </c>
      <c r="Z1086" s="11">
        <v>-27</v>
      </c>
      <c r="AA1086" s="11">
        <v>9.4</v>
      </c>
      <c r="AB1086" s="11">
        <v>124</v>
      </c>
      <c r="AC1086" s="11">
        <v>-5.4</v>
      </c>
      <c r="AD1086" s="11">
        <v>205</v>
      </c>
      <c r="AE1086" s="11">
        <v>-1.6</v>
      </c>
      <c r="AF1086" s="11">
        <v>230</v>
      </c>
      <c r="AG1086" s="11">
        <v>-0.4</v>
      </c>
      <c r="AH1086" s="11">
        <v>45</v>
      </c>
      <c r="AI1086" s="11">
        <v>40</v>
      </c>
      <c r="AJ1086" s="11">
        <v>120</v>
      </c>
      <c r="AK1086" s="11" t="s">
        <v>56</v>
      </c>
      <c r="AL1086" s="11" t="s">
        <v>44</v>
      </c>
      <c r="AM1086" s="10">
        <v>4.5</v>
      </c>
      <c r="AN1086" s="9">
        <v>267</v>
      </c>
      <c r="AO1086" s="8" t="s">
        <v>750</v>
      </c>
      <c r="AP1086" s="8">
        <v>1005</v>
      </c>
      <c r="AQ1086" s="8">
        <v>20.399999999999999</v>
      </c>
      <c r="AR1086" s="8">
        <v>24.7</v>
      </c>
      <c r="AS1086" s="8">
        <v>22.8</v>
      </c>
      <c r="AT1086" s="8">
        <v>34</v>
      </c>
      <c r="AU1086" s="8">
        <v>6.5</v>
      </c>
      <c r="AV1086" s="8">
        <v>87</v>
      </c>
      <c r="AW1086" s="8">
        <v>82</v>
      </c>
      <c r="AX1086" s="8">
        <v>617</v>
      </c>
      <c r="AY1086" s="8">
        <v>161</v>
      </c>
      <c r="AZ1086" s="8" t="s">
        <v>63</v>
      </c>
      <c r="BA1086" s="7" t="s">
        <v>46</v>
      </c>
      <c r="BB1086" s="9">
        <v>238</v>
      </c>
      <c r="BC1086" s="8" t="s">
        <v>749</v>
      </c>
      <c r="BD1086" s="8">
        <v>1.6</v>
      </c>
      <c r="BE1086" s="8">
        <v>1.9</v>
      </c>
      <c r="BF1086" s="8">
        <v>3.2</v>
      </c>
      <c r="BG1086" s="8">
        <v>5.5</v>
      </c>
      <c r="BH1086" s="8">
        <v>8.1999999999999993</v>
      </c>
      <c r="BI1086" s="8">
        <v>12.2</v>
      </c>
      <c r="BJ1086" s="8">
        <v>17.100000000000001</v>
      </c>
      <c r="BK1086" s="8">
        <v>19.3</v>
      </c>
      <c r="BL1086" s="8">
        <v>13.8</v>
      </c>
      <c r="BM1086" s="8">
        <v>7.9</v>
      </c>
      <c r="BN1086" s="8">
        <v>4</v>
      </c>
      <c r="BO1086" s="8">
        <v>2.1</v>
      </c>
      <c r="BP1086" s="7">
        <v>8.1</v>
      </c>
    </row>
    <row r="1087" spans="1:68" ht="14.25" customHeight="1">
      <c r="A1087" s="12">
        <v>430</v>
      </c>
      <c r="B1087" s="14">
        <v>103</v>
      </c>
      <c r="C1087" s="13" t="s">
        <v>30</v>
      </c>
      <c r="D1087" s="13" t="s">
        <v>300</v>
      </c>
      <c r="E1087" s="13" t="s">
        <v>746</v>
      </c>
      <c r="F1087" s="11">
        <v>-29.2</v>
      </c>
      <c r="G1087" s="11">
        <v>-24.2</v>
      </c>
      <c r="H1087" s="11">
        <v>-15.4</v>
      </c>
      <c r="I1087" s="11">
        <v>-3.9</v>
      </c>
      <c r="J1087" s="11">
        <v>5.6</v>
      </c>
      <c r="K1087" s="11">
        <v>14.7</v>
      </c>
      <c r="L1087" s="11">
        <v>17.7</v>
      </c>
      <c r="M1087" s="11">
        <v>13.5</v>
      </c>
      <c r="N1087" s="11">
        <v>5.8</v>
      </c>
      <c r="O1087" s="11">
        <v>-4.0999999999999996</v>
      </c>
      <c r="P1087" s="11">
        <v>-18.600000000000001</v>
      </c>
      <c r="Q1087" s="11">
        <v>-28.4</v>
      </c>
      <c r="R1087" s="10">
        <v>-5.5</v>
      </c>
      <c r="S1087" s="12">
        <v>103</v>
      </c>
      <c r="T1087" s="8" t="s">
        <v>748</v>
      </c>
      <c r="U1087" s="11">
        <v>-55</v>
      </c>
      <c r="V1087" s="11">
        <v>-53</v>
      </c>
      <c r="W1087" s="11">
        <v>-51</v>
      </c>
      <c r="X1087" s="11">
        <v>-50</v>
      </c>
      <c r="Y1087" s="11">
        <v>-34</v>
      </c>
      <c r="Z1087" s="11">
        <v>-60</v>
      </c>
      <c r="AA1087" s="11">
        <v>10.5</v>
      </c>
      <c r="AB1087" s="11">
        <v>207</v>
      </c>
      <c r="AC1087" s="11">
        <v>-17.8</v>
      </c>
      <c r="AD1087" s="11">
        <v>259</v>
      </c>
      <c r="AE1087" s="11">
        <v>-13.3</v>
      </c>
      <c r="AF1087" s="11">
        <v>274</v>
      </c>
      <c r="AG1087" s="11">
        <v>-12.1</v>
      </c>
      <c r="AH1087" s="11">
        <v>78</v>
      </c>
      <c r="AI1087" s="11">
        <v>77</v>
      </c>
      <c r="AJ1087" s="11">
        <v>124</v>
      </c>
      <c r="AK1087" s="11" t="s">
        <v>44</v>
      </c>
      <c r="AL1087" s="11" t="s">
        <v>44</v>
      </c>
      <c r="AM1087" s="10">
        <v>2.6</v>
      </c>
      <c r="AN1087" s="9">
        <v>103</v>
      </c>
      <c r="AO1087" s="8" t="s">
        <v>747</v>
      </c>
      <c r="AP1087" s="8">
        <v>975</v>
      </c>
      <c r="AQ1087" s="8">
        <v>22.1</v>
      </c>
      <c r="AR1087" s="8">
        <v>26.3</v>
      </c>
      <c r="AS1087" s="8">
        <v>24.5</v>
      </c>
      <c r="AT1087" s="8">
        <v>36</v>
      </c>
      <c r="AU1087" s="8">
        <v>14.8</v>
      </c>
      <c r="AV1087" s="8">
        <v>72</v>
      </c>
      <c r="AW1087" s="8">
        <v>53</v>
      </c>
      <c r="AX1087" s="8">
        <v>313</v>
      </c>
      <c r="AY1087" s="8">
        <v>56</v>
      </c>
      <c r="AZ1087" s="8" t="s">
        <v>114</v>
      </c>
      <c r="BA1087" s="7" t="s">
        <v>46</v>
      </c>
      <c r="BB1087" s="9">
        <v>87</v>
      </c>
      <c r="BC1087" s="8" t="s">
        <v>746</v>
      </c>
      <c r="BD1087" s="8">
        <v>0.7</v>
      </c>
      <c r="BE1087" s="8">
        <v>0.8</v>
      </c>
      <c r="BF1087" s="8">
        <v>1.4</v>
      </c>
      <c r="BG1087" s="8">
        <v>3</v>
      </c>
      <c r="BH1087" s="8">
        <v>5.0999999999999996</v>
      </c>
      <c r="BI1087" s="8">
        <v>10</v>
      </c>
      <c r="BJ1087" s="8">
        <v>13.7</v>
      </c>
      <c r="BK1087" s="8">
        <v>11.6</v>
      </c>
      <c r="BL1087" s="8">
        <v>7.1</v>
      </c>
      <c r="BM1087" s="8">
        <v>3.9</v>
      </c>
      <c r="BN1087" s="8">
        <v>1.5</v>
      </c>
      <c r="BO1087" s="8">
        <v>0.8</v>
      </c>
      <c r="BP1087" s="7">
        <v>5</v>
      </c>
    </row>
    <row r="1088" spans="1:68" ht="14.25" customHeight="1">
      <c r="A1088" s="12">
        <v>431</v>
      </c>
      <c r="B1088" s="14">
        <v>166</v>
      </c>
      <c r="C1088" s="13" t="s">
        <v>30</v>
      </c>
      <c r="D1088" s="13" t="s">
        <v>445</v>
      </c>
      <c r="E1088" s="13" t="s">
        <v>743</v>
      </c>
      <c r="F1088" s="11">
        <v>-2.5</v>
      </c>
      <c r="G1088" s="11">
        <v>-2.1</v>
      </c>
      <c r="H1088" s="11">
        <v>2.7</v>
      </c>
      <c r="I1088" s="11">
        <v>10.6</v>
      </c>
      <c r="J1088" s="11">
        <v>17.100000000000001</v>
      </c>
      <c r="K1088" s="11">
        <v>21.5</v>
      </c>
      <c r="L1088" s="11">
        <v>24.2</v>
      </c>
      <c r="M1088" s="11">
        <v>23.2</v>
      </c>
      <c r="N1088" s="11">
        <v>17.899999999999999</v>
      </c>
      <c r="O1088" s="11">
        <v>11.1</v>
      </c>
      <c r="P1088" s="11">
        <v>5.0999999999999996</v>
      </c>
      <c r="Q1088" s="11">
        <v>0.2</v>
      </c>
      <c r="R1088" s="10">
        <v>10.8</v>
      </c>
      <c r="S1088" s="12">
        <v>166</v>
      </c>
      <c r="T1088" s="8" t="s">
        <v>745</v>
      </c>
      <c r="U1088" s="11">
        <v>-27</v>
      </c>
      <c r="V1088" s="11">
        <v>-24</v>
      </c>
      <c r="W1088" s="11">
        <v>-23</v>
      </c>
      <c r="X1088" s="11">
        <v>-20</v>
      </c>
      <c r="Y1088" s="11">
        <v>-14</v>
      </c>
      <c r="Z1088" s="11">
        <v>-30</v>
      </c>
      <c r="AA1088" s="11">
        <v>6</v>
      </c>
      <c r="AB1088" s="11">
        <v>80</v>
      </c>
      <c r="AC1088" s="11">
        <v>-1.9</v>
      </c>
      <c r="AD1088" s="11">
        <v>159</v>
      </c>
      <c r="AE1088" s="11">
        <v>1</v>
      </c>
      <c r="AF1088" s="11">
        <v>175</v>
      </c>
      <c r="AG1088" s="11">
        <v>1.8</v>
      </c>
      <c r="AH1088" s="11">
        <v>85</v>
      </c>
      <c r="AI1088" s="11">
        <v>75</v>
      </c>
      <c r="AJ1088" s="11">
        <v>232</v>
      </c>
      <c r="AK1088" s="11" t="s">
        <v>66</v>
      </c>
      <c r="AL1088" s="11" t="s">
        <v>44</v>
      </c>
      <c r="AM1088" s="10">
        <v>4.3</v>
      </c>
      <c r="AN1088" s="9">
        <v>166</v>
      </c>
      <c r="AO1088" s="8" t="s">
        <v>744</v>
      </c>
      <c r="AP1088" s="8">
        <v>1015</v>
      </c>
      <c r="AQ1088" s="8">
        <v>25</v>
      </c>
      <c r="AR1088" s="8">
        <v>33</v>
      </c>
      <c r="AS1088" s="8">
        <v>28.4</v>
      </c>
      <c r="AT1088" s="8">
        <v>43</v>
      </c>
      <c r="AU1088" s="8">
        <v>8.4</v>
      </c>
      <c r="AV1088" s="8">
        <v>65</v>
      </c>
      <c r="AW1088" s="8">
        <v>54</v>
      </c>
      <c r="AX1088" s="8">
        <v>345</v>
      </c>
      <c r="AY1088" s="8">
        <v>123</v>
      </c>
      <c r="AZ1088" s="8" t="s">
        <v>54</v>
      </c>
      <c r="BA1088" s="7" t="s">
        <v>46</v>
      </c>
      <c r="BB1088" s="9">
        <v>145</v>
      </c>
      <c r="BC1088" s="8" t="s">
        <v>743</v>
      </c>
      <c r="BD1088" s="8">
        <v>4.7</v>
      </c>
      <c r="BE1088" s="8">
        <v>5.0999999999999996</v>
      </c>
      <c r="BF1088" s="8">
        <v>6.2</v>
      </c>
      <c r="BG1088" s="8">
        <v>9.4</v>
      </c>
      <c r="BH1088" s="8">
        <v>13.5</v>
      </c>
      <c r="BI1088" s="8">
        <v>17.3</v>
      </c>
      <c r="BJ1088" s="8">
        <v>19.600000000000001</v>
      </c>
      <c r="BK1088" s="8">
        <v>18.600000000000001</v>
      </c>
      <c r="BL1088" s="8">
        <v>14.3</v>
      </c>
      <c r="BM1088" s="8">
        <v>10.199999999999999</v>
      </c>
      <c r="BN1088" s="8">
        <v>7.8</v>
      </c>
      <c r="BO1088" s="8">
        <v>6</v>
      </c>
      <c r="BP1088" s="7">
        <v>11.1</v>
      </c>
    </row>
    <row r="1089" spans="1:68" ht="14.25" customHeight="1">
      <c r="A1089" s="12">
        <v>432</v>
      </c>
      <c r="B1089" s="14">
        <v>272</v>
      </c>
      <c r="C1089" s="13" t="s">
        <v>30</v>
      </c>
      <c r="D1089" s="13" t="s">
        <v>742</v>
      </c>
      <c r="E1089" s="13" t="s">
        <v>739</v>
      </c>
      <c r="F1089" s="11">
        <v>-7.5</v>
      </c>
      <c r="G1089" s="11">
        <v>-7.5</v>
      </c>
      <c r="H1089" s="11">
        <v>-3.4</v>
      </c>
      <c r="I1089" s="11">
        <v>4.2</v>
      </c>
      <c r="J1089" s="11">
        <v>11.3</v>
      </c>
      <c r="K1089" s="11">
        <v>15.5</v>
      </c>
      <c r="L1089" s="11">
        <v>17.399999999999999</v>
      </c>
      <c r="M1089" s="11">
        <v>15.7</v>
      </c>
      <c r="N1089" s="11">
        <v>10.9</v>
      </c>
      <c r="O1089" s="11">
        <v>5.3</v>
      </c>
      <c r="P1089" s="11">
        <v>0</v>
      </c>
      <c r="Q1089" s="11">
        <v>-4.5</v>
      </c>
      <c r="R1089" s="10">
        <v>4.8</v>
      </c>
      <c r="S1089" s="12">
        <v>272</v>
      </c>
      <c r="T1089" s="8" t="s">
        <v>741</v>
      </c>
      <c r="U1089" s="11">
        <v>-35</v>
      </c>
      <c r="V1089" s="11">
        <v>-31</v>
      </c>
      <c r="W1089" s="11">
        <v>-30</v>
      </c>
      <c r="X1089" s="11">
        <v>-26</v>
      </c>
      <c r="Y1089" s="11">
        <v>-12</v>
      </c>
      <c r="Z1089" s="11">
        <v>-41</v>
      </c>
      <c r="AA1089" s="11">
        <v>6.1</v>
      </c>
      <c r="AB1089" s="11">
        <v>134</v>
      </c>
      <c r="AC1089" s="11">
        <v>-4.9000000000000004</v>
      </c>
      <c r="AD1089" s="11">
        <v>212</v>
      </c>
      <c r="AE1089" s="11">
        <v>-1.6</v>
      </c>
      <c r="AF1089" s="11">
        <v>232</v>
      </c>
      <c r="AG1089" s="11">
        <v>-0.7</v>
      </c>
      <c r="AH1089" s="11">
        <v>86</v>
      </c>
      <c r="AI1089" s="11">
        <v>81</v>
      </c>
      <c r="AJ1089" s="11">
        <v>179</v>
      </c>
      <c r="AK1089" s="11" t="s">
        <v>34</v>
      </c>
      <c r="AL1089" s="11">
        <v>4.8</v>
      </c>
      <c r="AM1089" s="10">
        <v>3.9</v>
      </c>
      <c r="AN1089" s="9">
        <v>272</v>
      </c>
      <c r="AO1089" s="8" t="s">
        <v>740</v>
      </c>
      <c r="AP1089" s="8">
        <v>1005</v>
      </c>
      <c r="AQ1089" s="8">
        <v>21.4</v>
      </c>
      <c r="AR1089" s="8">
        <v>24.7</v>
      </c>
      <c r="AS1089" s="8">
        <v>22.9</v>
      </c>
      <c r="AT1089" s="8">
        <v>36</v>
      </c>
      <c r="AU1089" s="8">
        <v>10.7</v>
      </c>
      <c r="AV1089" s="8">
        <v>74</v>
      </c>
      <c r="AW1089" s="8">
        <v>57</v>
      </c>
      <c r="AX1089" s="8">
        <v>424</v>
      </c>
      <c r="AY1089" s="8">
        <v>75</v>
      </c>
      <c r="AZ1089" s="8" t="s">
        <v>43</v>
      </c>
      <c r="BA1089" s="7">
        <v>3.5</v>
      </c>
      <c r="BB1089" s="9">
        <v>243</v>
      </c>
      <c r="BC1089" s="8" t="s">
        <v>739</v>
      </c>
      <c r="BD1089" s="8">
        <v>3.4</v>
      </c>
      <c r="BE1089" s="8">
        <v>3.3</v>
      </c>
      <c r="BF1089" s="8">
        <v>4.0999999999999996</v>
      </c>
      <c r="BG1089" s="8">
        <v>6.2</v>
      </c>
      <c r="BH1089" s="8">
        <v>8.8000000000000007</v>
      </c>
      <c r="BI1089" s="8">
        <v>12.3</v>
      </c>
      <c r="BJ1089" s="8">
        <v>14.6</v>
      </c>
      <c r="BK1089" s="8">
        <v>14.1</v>
      </c>
      <c r="BL1089" s="8">
        <v>10.9</v>
      </c>
      <c r="BM1089" s="8">
        <v>7.8</v>
      </c>
      <c r="BN1089" s="8">
        <v>5.8</v>
      </c>
      <c r="BO1089" s="8">
        <v>4.3</v>
      </c>
      <c r="BP1089" s="7">
        <v>8</v>
      </c>
    </row>
    <row r="1090" spans="1:68" ht="14.25" customHeight="1">
      <c r="A1090" s="12">
        <v>433</v>
      </c>
      <c r="B1090" s="14">
        <v>492</v>
      </c>
      <c r="C1090" s="13" t="s">
        <v>531</v>
      </c>
      <c r="D1090" s="13" t="s">
        <v>531</v>
      </c>
      <c r="E1090" s="13" t="s">
        <v>738</v>
      </c>
      <c r="F1090" s="11">
        <v>-1.3</v>
      </c>
      <c r="G1090" s="11">
        <v>0.4</v>
      </c>
      <c r="H1090" s="11">
        <v>3.9</v>
      </c>
      <c r="I1090" s="11">
        <v>9.3000000000000007</v>
      </c>
      <c r="J1090" s="11">
        <v>13.7</v>
      </c>
      <c r="K1090" s="11">
        <v>16.7</v>
      </c>
      <c r="L1090" s="11">
        <v>19.600000000000001</v>
      </c>
      <c r="M1090" s="11">
        <v>18.8</v>
      </c>
      <c r="N1090" s="11">
        <v>14.7</v>
      </c>
      <c r="O1090" s="11">
        <v>9.4</v>
      </c>
      <c r="P1090" s="11">
        <v>4.8</v>
      </c>
      <c r="Q1090" s="11">
        <v>0.4</v>
      </c>
      <c r="R1090" s="10">
        <v>9.1999999999999993</v>
      </c>
      <c r="S1090" s="12">
        <v>492</v>
      </c>
      <c r="T1090" s="8" t="s">
        <v>736</v>
      </c>
      <c r="U1090" s="11">
        <v>-17</v>
      </c>
      <c r="V1090" s="11">
        <v>-14</v>
      </c>
      <c r="W1090" s="11">
        <v>-12</v>
      </c>
      <c r="X1090" s="11">
        <v>-10</v>
      </c>
      <c r="Y1090" s="11">
        <v>-4</v>
      </c>
      <c r="Z1090" s="11">
        <v>-27</v>
      </c>
      <c r="AA1090" s="11">
        <v>9.6999999999999993</v>
      </c>
      <c r="AB1090" s="11">
        <v>45</v>
      </c>
      <c r="AC1090" s="11">
        <v>-0.8</v>
      </c>
      <c r="AD1090" s="11">
        <v>165</v>
      </c>
      <c r="AE1090" s="11">
        <v>2.1</v>
      </c>
      <c r="AF1090" s="11">
        <v>190</v>
      </c>
      <c r="AG1090" s="11">
        <v>3</v>
      </c>
      <c r="AH1090" s="11" t="s">
        <v>49</v>
      </c>
      <c r="AI1090" s="11">
        <v>73</v>
      </c>
      <c r="AJ1090" s="11">
        <v>1120</v>
      </c>
      <c r="AK1090" s="11" t="s">
        <v>56</v>
      </c>
      <c r="AL1090" s="11" t="s">
        <v>44</v>
      </c>
      <c r="AM1090" s="10">
        <v>0</v>
      </c>
      <c r="AN1090" s="9">
        <v>492</v>
      </c>
      <c r="AO1090" s="8" t="s">
        <v>737</v>
      </c>
      <c r="AP1090" s="8">
        <v>935</v>
      </c>
      <c r="AQ1090" s="8">
        <v>29</v>
      </c>
      <c r="AR1090" s="8">
        <v>23</v>
      </c>
      <c r="AS1090" s="8">
        <v>26.3</v>
      </c>
      <c r="AT1090" s="8">
        <v>41</v>
      </c>
      <c r="AU1090" s="8">
        <v>13.6</v>
      </c>
      <c r="AV1090" s="8">
        <v>80</v>
      </c>
      <c r="AW1090" s="8">
        <v>60</v>
      </c>
      <c r="AX1090" s="8" t="s">
        <v>44</v>
      </c>
      <c r="AY1090" s="8">
        <v>155</v>
      </c>
      <c r="AZ1090" s="8" t="s">
        <v>25</v>
      </c>
      <c r="BA1090" s="7">
        <v>0.1</v>
      </c>
      <c r="BB1090" s="9"/>
      <c r="BC1090" s="8" t="s">
        <v>736</v>
      </c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7"/>
    </row>
    <row r="1091" spans="1:68" ht="14.25" customHeight="1">
      <c r="A1091" s="12">
        <v>434</v>
      </c>
      <c r="B1091" s="14">
        <v>221</v>
      </c>
      <c r="C1091" s="13" t="s">
        <v>30</v>
      </c>
      <c r="D1091" s="13" t="s">
        <v>61</v>
      </c>
      <c r="E1091" s="13" t="s">
        <v>733</v>
      </c>
      <c r="F1091" s="11">
        <v>-13.4</v>
      </c>
      <c r="G1091" s="11">
        <v>-13.6</v>
      </c>
      <c r="H1091" s="11">
        <v>-9.4</v>
      </c>
      <c r="I1091" s="11">
        <v>-3</v>
      </c>
      <c r="J1091" s="11">
        <v>3.1</v>
      </c>
      <c r="K1091" s="11">
        <v>9.6</v>
      </c>
      <c r="L1091" s="11">
        <v>13.4</v>
      </c>
      <c r="M1091" s="11">
        <v>11.4</v>
      </c>
      <c r="N1091" s="11">
        <v>6</v>
      </c>
      <c r="O1091" s="11">
        <v>-0.3</v>
      </c>
      <c r="P1091" s="11">
        <v>-5.8</v>
      </c>
      <c r="Q1091" s="11">
        <v>-10.1</v>
      </c>
      <c r="R1091" s="10">
        <v>-1</v>
      </c>
      <c r="S1091" s="12">
        <v>221</v>
      </c>
      <c r="T1091" s="8" t="s">
        <v>735</v>
      </c>
      <c r="U1091" s="11">
        <v>-44</v>
      </c>
      <c r="V1091" s="11">
        <v>-39</v>
      </c>
      <c r="W1091" s="11">
        <v>-40</v>
      </c>
      <c r="X1091" s="11">
        <v>-35</v>
      </c>
      <c r="Y1091" s="11">
        <v>-19</v>
      </c>
      <c r="Z1091" s="11">
        <v>-47</v>
      </c>
      <c r="AA1091" s="11">
        <v>9.3000000000000007</v>
      </c>
      <c r="AB1091" s="11">
        <v>198</v>
      </c>
      <c r="AC1091" s="11">
        <v>-8.3000000000000007</v>
      </c>
      <c r="AD1091" s="11">
        <v>277</v>
      </c>
      <c r="AE1091" s="11">
        <v>-4.8</v>
      </c>
      <c r="AF1091" s="11">
        <v>299</v>
      </c>
      <c r="AG1091" s="11">
        <v>-3.8</v>
      </c>
      <c r="AH1091" s="11">
        <v>84</v>
      </c>
      <c r="AI1091" s="11">
        <v>81</v>
      </c>
      <c r="AJ1091" s="11">
        <v>129</v>
      </c>
      <c r="AK1091" s="11" t="s">
        <v>34</v>
      </c>
      <c r="AL1091" s="11">
        <v>2.5</v>
      </c>
      <c r="AM1091" s="10">
        <v>3</v>
      </c>
      <c r="AN1091" s="9">
        <v>221</v>
      </c>
      <c r="AO1091" s="8" t="s">
        <v>734</v>
      </c>
      <c r="AP1091" s="8">
        <v>995</v>
      </c>
      <c r="AQ1091" s="8">
        <v>16.100000000000001</v>
      </c>
      <c r="AR1091" s="8">
        <v>20.6</v>
      </c>
      <c r="AS1091" s="8">
        <v>18.5</v>
      </c>
      <c r="AT1091" s="8">
        <v>33</v>
      </c>
      <c r="AU1091" s="8">
        <v>10.1</v>
      </c>
      <c r="AV1091" s="8">
        <v>71</v>
      </c>
      <c r="AW1091" s="8">
        <v>60</v>
      </c>
      <c r="AX1091" s="8">
        <v>319</v>
      </c>
      <c r="AY1091" s="8">
        <v>72</v>
      </c>
      <c r="AZ1091" s="8" t="s">
        <v>32</v>
      </c>
      <c r="BA1091" s="7">
        <v>0</v>
      </c>
      <c r="BB1091" s="9">
        <v>196</v>
      </c>
      <c r="BC1091" s="8" t="s">
        <v>733</v>
      </c>
      <c r="BD1091" s="8">
        <v>2.2000000000000002</v>
      </c>
      <c r="BE1091" s="8">
        <v>2.2000000000000002</v>
      </c>
      <c r="BF1091" s="8">
        <v>2.7</v>
      </c>
      <c r="BG1091" s="8">
        <v>3.9</v>
      </c>
      <c r="BH1091" s="8">
        <v>5.2</v>
      </c>
      <c r="BI1091" s="8">
        <v>7.3</v>
      </c>
      <c r="BJ1091" s="8">
        <v>10.6</v>
      </c>
      <c r="BK1091" s="8">
        <v>10.5</v>
      </c>
      <c r="BL1091" s="8">
        <v>7.9</v>
      </c>
      <c r="BM1091" s="8">
        <v>5.4</v>
      </c>
      <c r="BN1091" s="8">
        <v>3.8</v>
      </c>
      <c r="BO1091" s="8">
        <v>2.8</v>
      </c>
      <c r="BP1091" s="7">
        <v>5.4</v>
      </c>
    </row>
    <row r="1092" spans="1:68" ht="14.25" customHeight="1">
      <c r="A1092" s="12">
        <v>435</v>
      </c>
      <c r="B1092" s="14">
        <v>222</v>
      </c>
      <c r="C1092" s="13" t="s">
        <v>30</v>
      </c>
      <c r="D1092" s="13" t="s">
        <v>61</v>
      </c>
      <c r="E1092" s="13" t="s">
        <v>730</v>
      </c>
      <c r="F1092" s="11">
        <v>-10</v>
      </c>
      <c r="G1092" s="11">
        <v>-11.2</v>
      </c>
      <c r="H1092" s="11">
        <v>-8.9</v>
      </c>
      <c r="I1092" s="11">
        <v>-3.7</v>
      </c>
      <c r="J1092" s="11">
        <v>1.4</v>
      </c>
      <c r="K1092" s="11">
        <v>6.8</v>
      </c>
      <c r="L1092" s="11">
        <v>10.1</v>
      </c>
      <c r="M1092" s="11">
        <v>9.8000000000000007</v>
      </c>
      <c r="N1092" s="11">
        <v>6.4</v>
      </c>
      <c r="O1092" s="11">
        <v>1.3</v>
      </c>
      <c r="P1092" s="11">
        <v>-2.8</v>
      </c>
      <c r="Q1092" s="11">
        <v>-6.4</v>
      </c>
      <c r="R1092" s="10">
        <v>-0.6</v>
      </c>
      <c r="S1092" s="12">
        <v>222</v>
      </c>
      <c r="T1092" s="8" t="s">
        <v>732</v>
      </c>
      <c r="U1092" s="11">
        <v>-32</v>
      </c>
      <c r="V1092" s="11">
        <v>-29</v>
      </c>
      <c r="W1092" s="11">
        <v>-28</v>
      </c>
      <c r="X1092" s="11">
        <v>-25</v>
      </c>
      <c r="Y1092" s="11">
        <v>-16</v>
      </c>
      <c r="Z1092" s="11">
        <v>-38</v>
      </c>
      <c r="AA1092" s="11">
        <v>7.2</v>
      </c>
      <c r="AB1092" s="11">
        <v>194</v>
      </c>
      <c r="AC1092" s="11">
        <v>-6.5</v>
      </c>
      <c r="AD1092" s="11">
        <v>298</v>
      </c>
      <c r="AE1092" s="11">
        <v>-2.8</v>
      </c>
      <c r="AF1092" s="11">
        <v>354</v>
      </c>
      <c r="AG1092" s="11">
        <v>-0.9</v>
      </c>
      <c r="AH1092" s="11">
        <v>86</v>
      </c>
      <c r="AI1092" s="11">
        <v>86</v>
      </c>
      <c r="AJ1092" s="11">
        <v>133</v>
      </c>
      <c r="AK1092" s="11" t="s">
        <v>39</v>
      </c>
      <c r="AL1092" s="11" t="s">
        <v>44</v>
      </c>
      <c r="AM1092" s="10">
        <v>5.7</v>
      </c>
      <c r="AN1092" s="9">
        <v>222</v>
      </c>
      <c r="AO1092" s="8" t="s">
        <v>731</v>
      </c>
      <c r="AP1092" s="8">
        <v>1010</v>
      </c>
      <c r="AQ1092" s="8">
        <v>11.8</v>
      </c>
      <c r="AR1092" s="8">
        <v>16.5</v>
      </c>
      <c r="AS1092" s="8">
        <v>14.2</v>
      </c>
      <c r="AT1092" s="8">
        <v>28</v>
      </c>
      <c r="AU1092" s="8">
        <v>7.6</v>
      </c>
      <c r="AV1092" s="8">
        <v>85</v>
      </c>
      <c r="AW1092" s="8">
        <v>81</v>
      </c>
      <c r="AX1092" s="8">
        <v>331</v>
      </c>
      <c r="AY1092" s="8">
        <v>70</v>
      </c>
      <c r="AZ1092" s="8" t="s">
        <v>37</v>
      </c>
      <c r="BA1092" s="7" t="s">
        <v>46</v>
      </c>
      <c r="BB1092" s="9">
        <v>197</v>
      </c>
      <c r="BC1092" s="8" t="s">
        <v>730</v>
      </c>
      <c r="BD1092" s="8">
        <v>2.7</v>
      </c>
      <c r="BE1092" s="8">
        <v>2.5</v>
      </c>
      <c r="BF1092" s="8">
        <v>3</v>
      </c>
      <c r="BG1092" s="8">
        <v>4.2</v>
      </c>
      <c r="BH1092" s="8">
        <v>5.6</v>
      </c>
      <c r="BI1092" s="8">
        <v>8.3000000000000007</v>
      </c>
      <c r="BJ1092" s="8">
        <v>10.7</v>
      </c>
      <c r="BK1092" s="8">
        <v>10.5</v>
      </c>
      <c r="BL1092" s="8">
        <v>8.6</v>
      </c>
      <c r="BM1092" s="8">
        <v>6</v>
      </c>
      <c r="BN1092" s="8">
        <v>4.5999999999999996</v>
      </c>
      <c r="BO1092" s="8">
        <v>3.5</v>
      </c>
      <c r="BP1092" s="7">
        <v>5.9</v>
      </c>
    </row>
    <row r="1093" spans="1:68" ht="14.25" customHeight="1">
      <c r="A1093" s="12">
        <v>436</v>
      </c>
      <c r="B1093" s="14">
        <v>308</v>
      </c>
      <c r="C1093" s="13" t="s">
        <v>30</v>
      </c>
      <c r="D1093" s="13" t="s">
        <v>559</v>
      </c>
      <c r="E1093" s="13" t="s">
        <v>727</v>
      </c>
      <c r="F1093" s="11">
        <v>-4.2</v>
      </c>
      <c r="G1093" s="11">
        <v>-3</v>
      </c>
      <c r="H1093" s="11">
        <v>1.1000000000000001</v>
      </c>
      <c r="I1093" s="11">
        <v>8.9</v>
      </c>
      <c r="J1093" s="11">
        <v>14.6</v>
      </c>
      <c r="K1093" s="11">
        <v>18.3</v>
      </c>
      <c r="L1093" s="11">
        <v>21.1</v>
      </c>
      <c r="M1093" s="11">
        <v>20.5</v>
      </c>
      <c r="N1093" s="11">
        <v>15.5</v>
      </c>
      <c r="O1093" s="11">
        <v>8.9</v>
      </c>
      <c r="P1093" s="11">
        <v>3.2</v>
      </c>
      <c r="Q1093" s="11">
        <v>-1.4</v>
      </c>
      <c r="R1093" s="10">
        <v>8.6</v>
      </c>
      <c r="S1093" s="12">
        <v>308</v>
      </c>
      <c r="T1093" s="8" t="s">
        <v>729</v>
      </c>
      <c r="U1093" s="11">
        <v>-26</v>
      </c>
      <c r="V1093" s="11">
        <v>-23</v>
      </c>
      <c r="W1093" s="11">
        <v>-22</v>
      </c>
      <c r="X1093" s="11">
        <v>-20</v>
      </c>
      <c r="Y1093" s="11">
        <v>-7</v>
      </c>
      <c r="Z1093" s="11">
        <v>-33</v>
      </c>
      <c r="AA1093" s="11">
        <v>8.3000000000000007</v>
      </c>
      <c r="AB1093" s="11">
        <v>97</v>
      </c>
      <c r="AC1093" s="11">
        <v>-2.7</v>
      </c>
      <c r="AD1093" s="11">
        <v>175</v>
      </c>
      <c r="AE1093" s="11">
        <v>0.2</v>
      </c>
      <c r="AF1093" s="11">
        <v>191</v>
      </c>
      <c r="AG1093" s="11">
        <v>0.9</v>
      </c>
      <c r="AH1093" s="11">
        <v>83</v>
      </c>
      <c r="AI1093" s="11">
        <v>73</v>
      </c>
      <c r="AJ1093" s="11">
        <v>114</v>
      </c>
      <c r="AK1093" s="11" t="s">
        <v>66</v>
      </c>
      <c r="AL1093" s="11">
        <v>6.3</v>
      </c>
      <c r="AM1093" s="10">
        <v>3.4</v>
      </c>
      <c r="AN1093" s="9">
        <v>308</v>
      </c>
      <c r="AO1093" s="8" t="s">
        <v>728</v>
      </c>
      <c r="AP1093" s="8">
        <v>990</v>
      </c>
      <c r="AQ1093" s="8">
        <v>24</v>
      </c>
      <c r="AR1093" s="8">
        <v>30</v>
      </c>
      <c r="AS1093" s="8">
        <v>27.1</v>
      </c>
      <c r="AT1093" s="8">
        <v>40</v>
      </c>
      <c r="AU1093" s="8">
        <v>11.7</v>
      </c>
      <c r="AV1093" s="8">
        <v>66</v>
      </c>
      <c r="AW1093" s="8">
        <v>50</v>
      </c>
      <c r="AX1093" s="8">
        <v>425</v>
      </c>
      <c r="AY1093" s="8">
        <v>95</v>
      </c>
      <c r="AZ1093" s="8" t="s">
        <v>43</v>
      </c>
      <c r="BA1093" s="7">
        <v>0</v>
      </c>
      <c r="BB1093" s="9">
        <v>277</v>
      </c>
      <c r="BC1093" s="8" t="s">
        <v>727</v>
      </c>
      <c r="BD1093" s="8">
        <v>4</v>
      </c>
      <c r="BE1093" s="8">
        <v>4.3</v>
      </c>
      <c r="BF1093" s="8">
        <v>5.4</v>
      </c>
      <c r="BG1093" s="8">
        <v>7.9</v>
      </c>
      <c r="BH1093" s="8">
        <v>11.4</v>
      </c>
      <c r="BI1093" s="8">
        <v>14.3</v>
      </c>
      <c r="BJ1093" s="8">
        <v>16</v>
      </c>
      <c r="BK1093" s="8">
        <v>15.5</v>
      </c>
      <c r="BL1093" s="8">
        <v>12.5</v>
      </c>
      <c r="BM1093" s="8">
        <v>9</v>
      </c>
      <c r="BN1093" s="8">
        <v>6.7</v>
      </c>
      <c r="BO1093" s="8">
        <v>4.8</v>
      </c>
      <c r="BP1093" s="7">
        <v>9.3000000000000007</v>
      </c>
    </row>
    <row r="1094" spans="1:68" ht="14.25" customHeight="1">
      <c r="A1094" s="12">
        <v>437</v>
      </c>
      <c r="B1094" s="14">
        <v>630</v>
      </c>
      <c r="C1094" s="13" t="s">
        <v>52</v>
      </c>
      <c r="D1094" s="13" t="s">
        <v>660</v>
      </c>
      <c r="E1094" s="13" t="s">
        <v>725</v>
      </c>
      <c r="F1094" s="11">
        <v>-3.6</v>
      </c>
      <c r="G1094" s="11">
        <v>-2.2999999999999998</v>
      </c>
      <c r="H1094" s="11">
        <v>2.2000000000000002</v>
      </c>
      <c r="I1094" s="11">
        <v>9.6</v>
      </c>
      <c r="J1094" s="11">
        <v>15.7</v>
      </c>
      <c r="K1094" s="11">
        <v>19.3</v>
      </c>
      <c r="L1094" s="11">
        <v>21</v>
      </c>
      <c r="M1094" s="11">
        <v>20.7</v>
      </c>
      <c r="N1094" s="11">
        <v>16.2</v>
      </c>
      <c r="O1094" s="11">
        <v>9.9</v>
      </c>
      <c r="P1094" s="11">
        <v>4</v>
      </c>
      <c r="Q1094" s="11">
        <v>-0.6</v>
      </c>
      <c r="R1094" s="10">
        <v>9.3000000000000007</v>
      </c>
      <c r="S1094" s="12">
        <v>619</v>
      </c>
      <c r="T1094" s="8" t="s">
        <v>725</v>
      </c>
      <c r="U1094" s="11">
        <v>-24</v>
      </c>
      <c r="V1094" s="11">
        <v>-21</v>
      </c>
      <c r="W1094" s="11">
        <v>-20</v>
      </c>
      <c r="X1094" s="11">
        <v>-17</v>
      </c>
      <c r="Y1094" s="11">
        <v>-7</v>
      </c>
      <c r="Z1094" s="11">
        <v>-29</v>
      </c>
      <c r="AA1094" s="11" t="s">
        <v>49</v>
      </c>
      <c r="AB1094" s="11">
        <v>83</v>
      </c>
      <c r="AC1094" s="11">
        <v>-2.5</v>
      </c>
      <c r="AD1094" s="11">
        <v>164</v>
      </c>
      <c r="AE1094" s="11">
        <v>0.6</v>
      </c>
      <c r="AF1094" s="11">
        <v>181</v>
      </c>
      <c r="AG1094" s="11">
        <v>1.4</v>
      </c>
      <c r="AH1094" s="11" t="s">
        <v>49</v>
      </c>
      <c r="AI1094" s="11" t="s">
        <v>49</v>
      </c>
      <c r="AJ1094" s="11">
        <v>178</v>
      </c>
      <c r="AK1094" s="11" t="s">
        <v>199</v>
      </c>
      <c r="AL1094" s="11" t="s">
        <v>44</v>
      </c>
      <c r="AM1094" s="10" t="s">
        <v>44</v>
      </c>
      <c r="AN1094" s="9">
        <v>620</v>
      </c>
      <c r="AO1094" s="8" t="s">
        <v>726</v>
      </c>
      <c r="AP1094" s="8">
        <v>1000</v>
      </c>
      <c r="AQ1094" s="8">
        <v>30</v>
      </c>
      <c r="AR1094" s="8">
        <v>26</v>
      </c>
      <c r="AS1094" s="8">
        <v>27</v>
      </c>
      <c r="AT1094" s="8">
        <v>37</v>
      </c>
      <c r="AU1094" s="8" t="s">
        <v>46</v>
      </c>
      <c r="AV1094" s="8" t="s">
        <v>45</v>
      </c>
      <c r="AW1094" s="8" t="s">
        <v>44</v>
      </c>
      <c r="AX1094" s="8" t="s">
        <v>44</v>
      </c>
      <c r="AY1094" s="8">
        <v>106</v>
      </c>
      <c r="AZ1094" s="8" t="s">
        <v>54</v>
      </c>
      <c r="BA1094" s="7">
        <v>1.8</v>
      </c>
      <c r="BB1094" s="9"/>
      <c r="BC1094" s="8" t="s">
        <v>725</v>
      </c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7"/>
    </row>
    <row r="1095" spans="1:68" ht="14.25" customHeight="1">
      <c r="A1095" s="12">
        <v>438</v>
      </c>
      <c r="B1095" s="14">
        <v>137</v>
      </c>
      <c r="C1095" s="13" t="s">
        <v>30</v>
      </c>
      <c r="D1095" s="13" t="s">
        <v>599</v>
      </c>
      <c r="E1095" s="13" t="s">
        <v>722</v>
      </c>
      <c r="F1095" s="11">
        <v>-11.9</v>
      </c>
      <c r="G1095" s="11">
        <v>-11.8</v>
      </c>
      <c r="H1095" s="11">
        <v>-7.6</v>
      </c>
      <c r="I1095" s="11">
        <v>-0.5</v>
      </c>
      <c r="J1095" s="11">
        <v>6.1</v>
      </c>
      <c r="K1095" s="11">
        <v>12.9</v>
      </c>
      <c r="L1095" s="11">
        <v>16</v>
      </c>
      <c r="M1095" s="11">
        <v>13.7</v>
      </c>
      <c r="N1095" s="11">
        <v>8</v>
      </c>
      <c r="O1095" s="11">
        <v>1.6</v>
      </c>
      <c r="P1095" s="11">
        <v>-3.5</v>
      </c>
      <c r="Q1095" s="11">
        <v>-8.6</v>
      </c>
      <c r="R1095" s="10">
        <v>1.2</v>
      </c>
      <c r="S1095" s="12">
        <v>137</v>
      </c>
      <c r="T1095" s="8" t="s">
        <v>724</v>
      </c>
      <c r="U1095" s="11">
        <v>-40</v>
      </c>
      <c r="V1095" s="11">
        <v>-37</v>
      </c>
      <c r="W1095" s="11">
        <v>-35</v>
      </c>
      <c r="X1095" s="11">
        <v>-32</v>
      </c>
      <c r="Y1095" s="11">
        <v>-17</v>
      </c>
      <c r="Z1095" s="11">
        <v>-45</v>
      </c>
      <c r="AA1095" s="11">
        <v>7.8</v>
      </c>
      <c r="AB1095" s="11">
        <v>174</v>
      </c>
      <c r="AC1095" s="11">
        <v>-7.5</v>
      </c>
      <c r="AD1095" s="11">
        <v>251</v>
      </c>
      <c r="AE1095" s="11">
        <v>-4</v>
      </c>
      <c r="AF1095" s="11">
        <v>271</v>
      </c>
      <c r="AG1095" s="11">
        <v>-3</v>
      </c>
      <c r="AH1095" s="11">
        <v>86</v>
      </c>
      <c r="AI1095" s="11">
        <v>86</v>
      </c>
      <c r="AJ1095" s="11">
        <v>166</v>
      </c>
      <c r="AK1095" s="11" t="s">
        <v>39</v>
      </c>
      <c r="AL1095" s="11" t="s">
        <v>44</v>
      </c>
      <c r="AM1095" s="10">
        <v>3.2</v>
      </c>
      <c r="AN1095" s="9">
        <v>137</v>
      </c>
      <c r="AO1095" s="8" t="s">
        <v>723</v>
      </c>
      <c r="AP1095" s="8">
        <v>990</v>
      </c>
      <c r="AQ1095" s="8">
        <v>18.2</v>
      </c>
      <c r="AR1095" s="8">
        <v>22.6</v>
      </c>
      <c r="AS1095" s="8">
        <v>20.6</v>
      </c>
      <c r="AT1095" s="8">
        <v>33</v>
      </c>
      <c r="AU1095" s="8">
        <v>8.9</v>
      </c>
      <c r="AV1095" s="8">
        <v>70</v>
      </c>
      <c r="AW1095" s="8">
        <v>58</v>
      </c>
      <c r="AX1095" s="8">
        <v>400</v>
      </c>
      <c r="AY1095" s="8">
        <v>25</v>
      </c>
      <c r="AZ1095" s="8" t="s">
        <v>82</v>
      </c>
      <c r="BA1095" s="7" t="s">
        <v>46</v>
      </c>
      <c r="BB1095" s="9">
        <v>120</v>
      </c>
      <c r="BC1095" s="8" t="s">
        <v>722</v>
      </c>
      <c r="BD1095" s="8">
        <v>2.5</v>
      </c>
      <c r="BE1095" s="8">
        <v>2.5</v>
      </c>
      <c r="BF1095" s="8">
        <v>3.1</v>
      </c>
      <c r="BG1095" s="8">
        <v>4.4000000000000004</v>
      </c>
      <c r="BH1095" s="8">
        <v>6.3</v>
      </c>
      <c r="BI1095" s="8">
        <v>9.9</v>
      </c>
      <c r="BJ1095" s="8">
        <v>12.4</v>
      </c>
      <c r="BK1095" s="8">
        <v>12.1</v>
      </c>
      <c r="BL1095" s="8">
        <v>9.1999999999999993</v>
      </c>
      <c r="BM1095" s="8">
        <v>6.2</v>
      </c>
      <c r="BN1095" s="8">
        <v>4.5</v>
      </c>
      <c r="BO1095" s="8">
        <v>3.2</v>
      </c>
      <c r="BP1095" s="7">
        <v>6.4</v>
      </c>
    </row>
    <row r="1096" spans="1:68" ht="14.25" customHeight="1">
      <c r="A1096" s="12">
        <v>439</v>
      </c>
      <c r="B1096" s="14">
        <v>569</v>
      </c>
      <c r="C1096" s="17" t="s">
        <v>208</v>
      </c>
      <c r="D1096" s="17" t="s">
        <v>207</v>
      </c>
      <c r="E1096" s="13" t="s">
        <v>720</v>
      </c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0"/>
      <c r="S1096" s="16">
        <v>569</v>
      </c>
      <c r="T1096" s="8" t="s">
        <v>720</v>
      </c>
      <c r="U1096" s="11">
        <v>-20</v>
      </c>
      <c r="V1096" s="11">
        <v>-17</v>
      </c>
      <c r="W1096" s="11">
        <v>-16</v>
      </c>
      <c r="X1096" s="11">
        <v>-12</v>
      </c>
      <c r="Y1096" s="11">
        <v>-2</v>
      </c>
      <c r="Z1096" s="11">
        <v>-31</v>
      </c>
      <c r="AA1096" s="11">
        <v>10.5</v>
      </c>
      <c r="AB1096" s="11">
        <v>0</v>
      </c>
      <c r="AC1096" s="11" t="s">
        <v>50</v>
      </c>
      <c r="AD1096" s="11">
        <v>111</v>
      </c>
      <c r="AE1096" s="11">
        <v>3.6</v>
      </c>
      <c r="AF1096" s="11">
        <v>130</v>
      </c>
      <c r="AG1096" s="11">
        <v>4.4000000000000004</v>
      </c>
      <c r="AH1096" s="11" t="s">
        <v>49</v>
      </c>
      <c r="AI1096" s="11">
        <v>58</v>
      </c>
      <c r="AJ1096" s="11">
        <v>90</v>
      </c>
      <c r="AK1096" s="11" t="s">
        <v>27</v>
      </c>
      <c r="AL1096" s="11">
        <v>4.4000000000000004</v>
      </c>
      <c r="AM1096" s="10" t="s">
        <v>44</v>
      </c>
      <c r="AN1096" s="9">
        <v>570</v>
      </c>
      <c r="AO1096" s="8" t="s">
        <v>721</v>
      </c>
      <c r="AP1096" s="8">
        <v>990</v>
      </c>
      <c r="AQ1096" s="8">
        <v>42</v>
      </c>
      <c r="AR1096" s="8">
        <v>36</v>
      </c>
      <c r="AS1096" s="8">
        <v>39.9</v>
      </c>
      <c r="AT1096" s="8">
        <v>50</v>
      </c>
      <c r="AU1096" s="8">
        <v>18.600000000000001</v>
      </c>
      <c r="AV1096" s="8">
        <v>23</v>
      </c>
      <c r="AW1096" s="8">
        <v>11</v>
      </c>
      <c r="AX1096" s="8">
        <v>38</v>
      </c>
      <c r="AY1096" s="8">
        <v>49</v>
      </c>
      <c r="AZ1096" s="8" t="s">
        <v>32</v>
      </c>
      <c r="BA1096" s="7">
        <v>2.9</v>
      </c>
      <c r="BB1096" s="9"/>
      <c r="BC1096" s="8" t="s">
        <v>720</v>
      </c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7"/>
    </row>
    <row r="1097" spans="1:68" ht="14.25" customHeight="1">
      <c r="A1097" s="12">
        <v>440</v>
      </c>
      <c r="B1097" s="14">
        <v>316</v>
      </c>
      <c r="C1097" s="13" t="s">
        <v>30</v>
      </c>
      <c r="D1097" s="13" t="s">
        <v>473</v>
      </c>
      <c r="E1097" s="13" t="s">
        <v>717</v>
      </c>
      <c r="F1097" s="11">
        <v>-10</v>
      </c>
      <c r="G1097" s="11">
        <v>-8.9</v>
      </c>
      <c r="H1097" s="11">
        <v>-4.2</v>
      </c>
      <c r="I1097" s="11">
        <v>4.0999999999999996</v>
      </c>
      <c r="J1097" s="11">
        <v>11.2</v>
      </c>
      <c r="K1097" s="11">
        <v>15.6</v>
      </c>
      <c r="L1097" s="11">
        <v>17.100000000000001</v>
      </c>
      <c r="M1097" s="11">
        <v>15.8</v>
      </c>
      <c r="N1097" s="11">
        <v>10.3</v>
      </c>
      <c r="O1097" s="11">
        <v>4.0999999999999996</v>
      </c>
      <c r="P1097" s="11">
        <v>-1.4</v>
      </c>
      <c r="Q1097" s="11">
        <v>-6.3</v>
      </c>
      <c r="R1097" s="10">
        <v>4</v>
      </c>
      <c r="S1097" s="12">
        <v>316</v>
      </c>
      <c r="T1097" s="8" t="s">
        <v>719</v>
      </c>
      <c r="U1097" s="11">
        <v>-37</v>
      </c>
      <c r="V1097" s="11">
        <v>-33</v>
      </c>
      <c r="W1097" s="11">
        <v>-31</v>
      </c>
      <c r="X1097" s="11">
        <v>-28</v>
      </c>
      <c r="Y1097" s="11">
        <v>-15</v>
      </c>
      <c r="Z1097" s="11">
        <v>-47</v>
      </c>
      <c r="AA1097" s="11">
        <v>6.6</v>
      </c>
      <c r="AB1097" s="11">
        <v>144</v>
      </c>
      <c r="AC1097" s="11">
        <v>-6.1</v>
      </c>
      <c r="AD1097" s="11">
        <v>217</v>
      </c>
      <c r="AE1097" s="11">
        <v>-2.7</v>
      </c>
      <c r="AF1097" s="11">
        <v>236</v>
      </c>
      <c r="AG1097" s="11">
        <v>-1.8</v>
      </c>
      <c r="AH1097" s="11">
        <v>85</v>
      </c>
      <c r="AI1097" s="11">
        <v>85</v>
      </c>
      <c r="AJ1097" s="11">
        <v>210</v>
      </c>
      <c r="AK1097" s="11" t="s">
        <v>34</v>
      </c>
      <c r="AL1097" s="11" t="s">
        <v>44</v>
      </c>
      <c r="AM1097" s="10">
        <v>3.6</v>
      </c>
      <c r="AN1097" s="9">
        <v>316</v>
      </c>
      <c r="AO1097" s="8" t="s">
        <v>718</v>
      </c>
      <c r="AP1097" s="8">
        <v>990</v>
      </c>
      <c r="AQ1097" s="8">
        <v>20.100000000000001</v>
      </c>
      <c r="AR1097" s="8">
        <v>24.4</v>
      </c>
      <c r="AS1097" s="8">
        <v>22.5</v>
      </c>
      <c r="AT1097" s="8">
        <v>36</v>
      </c>
      <c r="AU1097" s="8">
        <v>10.5</v>
      </c>
      <c r="AV1097" s="8">
        <v>77</v>
      </c>
      <c r="AW1097" s="8">
        <v>61</v>
      </c>
      <c r="AX1097" s="8">
        <v>439</v>
      </c>
      <c r="AY1097" s="8">
        <v>70</v>
      </c>
      <c r="AZ1097" s="8" t="s">
        <v>43</v>
      </c>
      <c r="BA1097" s="7" t="s">
        <v>46</v>
      </c>
      <c r="BB1097" s="9">
        <v>284</v>
      </c>
      <c r="BC1097" s="8" t="s">
        <v>717</v>
      </c>
      <c r="BD1097" s="8">
        <v>2.9</v>
      </c>
      <c r="BE1097" s="8">
        <v>2.9</v>
      </c>
      <c r="BF1097" s="8">
        <v>3.8</v>
      </c>
      <c r="BG1097" s="8">
        <v>6.2</v>
      </c>
      <c r="BH1097" s="8">
        <v>9.1999999999999993</v>
      </c>
      <c r="BI1097" s="8">
        <v>12.7</v>
      </c>
      <c r="BJ1097" s="8">
        <v>15</v>
      </c>
      <c r="BK1097" s="8">
        <v>14.1</v>
      </c>
      <c r="BL1097" s="8">
        <v>10.4</v>
      </c>
      <c r="BM1097" s="8">
        <v>7.1</v>
      </c>
      <c r="BN1097" s="8">
        <v>5.0999999999999996</v>
      </c>
      <c r="BO1097" s="8">
        <v>3.8</v>
      </c>
      <c r="BP1097" s="7">
        <v>7.8</v>
      </c>
    </row>
    <row r="1098" spans="1:68" ht="14.25" customHeight="1">
      <c r="A1098" s="12">
        <v>441</v>
      </c>
      <c r="B1098" s="14">
        <v>634</v>
      </c>
      <c r="C1098" s="13" t="s">
        <v>52</v>
      </c>
      <c r="D1098" s="13" t="s">
        <v>653</v>
      </c>
      <c r="E1098" s="13" t="s">
        <v>715</v>
      </c>
      <c r="F1098" s="11">
        <v>-5.4</v>
      </c>
      <c r="G1098" s="11">
        <v>-4</v>
      </c>
      <c r="H1098" s="11">
        <v>0.3</v>
      </c>
      <c r="I1098" s="11">
        <v>7.7</v>
      </c>
      <c r="J1098" s="11">
        <v>13.7</v>
      </c>
      <c r="K1098" s="11">
        <v>16.600000000000001</v>
      </c>
      <c r="L1098" s="11">
        <v>17.8</v>
      </c>
      <c r="M1098" s="11">
        <v>17.2</v>
      </c>
      <c r="N1098" s="11">
        <v>13.1</v>
      </c>
      <c r="O1098" s="11">
        <v>7.7</v>
      </c>
      <c r="P1098" s="11">
        <v>2.2000000000000002</v>
      </c>
      <c r="Q1098" s="11">
        <v>-2.4</v>
      </c>
      <c r="R1098" s="10">
        <v>7</v>
      </c>
      <c r="S1098" s="12">
        <v>623</v>
      </c>
      <c r="T1098" s="8" t="s">
        <v>715</v>
      </c>
      <c r="U1098" s="11">
        <v>-27</v>
      </c>
      <c r="V1098" s="11">
        <v>-25</v>
      </c>
      <c r="W1098" s="11">
        <v>-22</v>
      </c>
      <c r="X1098" s="11">
        <v>-21</v>
      </c>
      <c r="Y1098" s="11">
        <v>-9</v>
      </c>
      <c r="Z1098" s="11">
        <v>-35</v>
      </c>
      <c r="AA1098" s="11" t="s">
        <v>49</v>
      </c>
      <c r="AB1098" s="11">
        <v>105</v>
      </c>
      <c r="AC1098" s="11">
        <v>-3.5</v>
      </c>
      <c r="AD1098" s="11">
        <v>181</v>
      </c>
      <c r="AE1098" s="11">
        <v>-0.5</v>
      </c>
      <c r="AF1098" s="11">
        <v>200</v>
      </c>
      <c r="AG1098" s="11">
        <v>0.4</v>
      </c>
      <c r="AH1098" s="11" t="s">
        <v>49</v>
      </c>
      <c r="AI1098" s="11" t="s">
        <v>49</v>
      </c>
      <c r="AJ1098" s="11">
        <v>157</v>
      </c>
      <c r="AK1098" s="11" t="s">
        <v>48</v>
      </c>
      <c r="AL1098" s="11" t="s">
        <v>44</v>
      </c>
      <c r="AM1098" s="10" t="s">
        <v>44</v>
      </c>
      <c r="AN1098" s="9">
        <v>624</v>
      </c>
      <c r="AO1098" s="8" t="s">
        <v>716</v>
      </c>
      <c r="AP1098" s="8">
        <v>1000</v>
      </c>
      <c r="AQ1098" s="8">
        <v>26</v>
      </c>
      <c r="AR1098" s="8">
        <v>22</v>
      </c>
      <c r="AS1098" s="8">
        <v>23.5</v>
      </c>
      <c r="AT1098" s="8">
        <v>37</v>
      </c>
      <c r="AU1098" s="8" t="s">
        <v>46</v>
      </c>
      <c r="AV1098" s="8" t="s">
        <v>45</v>
      </c>
      <c r="AW1098" s="8" t="s">
        <v>44</v>
      </c>
      <c r="AX1098" s="8" t="s">
        <v>44</v>
      </c>
      <c r="AY1098" s="8">
        <v>66</v>
      </c>
      <c r="AZ1098" s="8" t="s">
        <v>43</v>
      </c>
      <c r="BA1098" s="7">
        <v>2.2000000000000002</v>
      </c>
      <c r="BB1098" s="9"/>
      <c r="BC1098" s="8" t="s">
        <v>715</v>
      </c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7"/>
    </row>
    <row r="1099" spans="1:68" ht="14.25" customHeight="1">
      <c r="A1099" s="12">
        <v>442</v>
      </c>
      <c r="B1099" s="14">
        <v>10</v>
      </c>
      <c r="C1099" s="13" t="s">
        <v>30</v>
      </c>
      <c r="D1099" s="13" t="s">
        <v>438</v>
      </c>
      <c r="E1099" s="13" t="s">
        <v>712</v>
      </c>
      <c r="F1099" s="11">
        <v>-17.7</v>
      </c>
      <c r="G1099" s="11">
        <v>-16.899999999999999</v>
      </c>
      <c r="H1099" s="11">
        <v>-9.8000000000000007</v>
      </c>
      <c r="I1099" s="11">
        <v>3.3</v>
      </c>
      <c r="J1099" s="11">
        <v>12.5</v>
      </c>
      <c r="K1099" s="11">
        <v>18.600000000000001</v>
      </c>
      <c r="L1099" s="11">
        <v>20.5</v>
      </c>
      <c r="M1099" s="11">
        <v>17.399999999999999</v>
      </c>
      <c r="N1099" s="11">
        <v>11.6</v>
      </c>
      <c r="O1099" s="11">
        <v>3</v>
      </c>
      <c r="P1099" s="11">
        <v>-7.4</v>
      </c>
      <c r="Q1099" s="11">
        <v>-15.1</v>
      </c>
      <c r="R1099" s="10">
        <v>1.7</v>
      </c>
      <c r="S1099" s="12">
        <v>10</v>
      </c>
      <c r="T1099" s="8" t="s">
        <v>714</v>
      </c>
      <c r="U1099" s="11">
        <v>-44</v>
      </c>
      <c r="V1099" s="11">
        <v>-42</v>
      </c>
      <c r="W1099" s="11">
        <v>-41</v>
      </c>
      <c r="X1099" s="11">
        <v>-38</v>
      </c>
      <c r="Y1099" s="11">
        <v>-23</v>
      </c>
      <c r="Z1099" s="11">
        <v>-49</v>
      </c>
      <c r="AA1099" s="11">
        <v>9.6</v>
      </c>
      <c r="AB1099" s="11">
        <v>165</v>
      </c>
      <c r="AC1099" s="11">
        <v>-11.8</v>
      </c>
      <c r="AD1099" s="11">
        <v>215</v>
      </c>
      <c r="AE1099" s="11">
        <v>-8.1</v>
      </c>
      <c r="AF1099" s="11">
        <v>228</v>
      </c>
      <c r="AG1099" s="11">
        <v>-7</v>
      </c>
      <c r="AH1099" s="11">
        <v>80</v>
      </c>
      <c r="AI1099" s="11">
        <v>79</v>
      </c>
      <c r="AJ1099" s="11">
        <v>76</v>
      </c>
      <c r="AK1099" s="11" t="s">
        <v>39</v>
      </c>
      <c r="AL1099" s="11">
        <v>6</v>
      </c>
      <c r="AM1099" s="10">
        <v>4.8</v>
      </c>
      <c r="AN1099" s="9">
        <v>10</v>
      </c>
      <c r="AO1099" s="8" t="s">
        <v>713</v>
      </c>
      <c r="AP1099" s="8">
        <v>990</v>
      </c>
      <c r="AQ1099" s="8">
        <v>25.1</v>
      </c>
      <c r="AR1099" s="8">
        <v>29.1</v>
      </c>
      <c r="AS1099" s="8">
        <v>27.5</v>
      </c>
      <c r="AT1099" s="8">
        <v>40</v>
      </c>
      <c r="AU1099" s="8">
        <v>13.8</v>
      </c>
      <c r="AV1099" s="8">
        <v>63</v>
      </c>
      <c r="AW1099" s="8">
        <v>45</v>
      </c>
      <c r="AX1099" s="8">
        <v>243</v>
      </c>
      <c r="AY1099" s="8">
        <v>50</v>
      </c>
      <c r="AZ1099" s="8" t="s">
        <v>82</v>
      </c>
      <c r="BA1099" s="7">
        <v>3.3</v>
      </c>
      <c r="BB1099" s="9">
        <v>6</v>
      </c>
      <c r="BC1099" s="8" t="s">
        <v>712</v>
      </c>
      <c r="BD1099" s="8">
        <v>1.6</v>
      </c>
      <c r="BE1099" s="8">
        <v>1.6</v>
      </c>
      <c r="BF1099" s="8">
        <v>2.9</v>
      </c>
      <c r="BG1099" s="8">
        <v>5.5</v>
      </c>
      <c r="BH1099" s="8">
        <v>7.3</v>
      </c>
      <c r="BI1099" s="8">
        <v>11.3</v>
      </c>
      <c r="BJ1099" s="8">
        <v>14.3</v>
      </c>
      <c r="BK1099" s="8">
        <v>12.3</v>
      </c>
      <c r="BL1099" s="8">
        <v>8.5</v>
      </c>
      <c r="BM1099" s="8">
        <v>5.5</v>
      </c>
      <c r="BN1099" s="8">
        <v>3.3</v>
      </c>
      <c r="BO1099" s="8">
        <v>2</v>
      </c>
      <c r="BP1099" s="7">
        <v>6.3</v>
      </c>
    </row>
    <row r="1100" spans="1:68" ht="14.25" customHeight="1">
      <c r="A1100" s="12">
        <v>443</v>
      </c>
      <c r="B1100" s="14">
        <v>636</v>
      </c>
      <c r="C1100" s="13" t="s">
        <v>52</v>
      </c>
      <c r="D1100" s="13" t="s">
        <v>551</v>
      </c>
      <c r="E1100" s="13" t="s">
        <v>710</v>
      </c>
      <c r="F1100" s="11">
        <v>-7.3</v>
      </c>
      <c r="G1100" s="11">
        <v>-6</v>
      </c>
      <c r="H1100" s="11">
        <v>-0.8</v>
      </c>
      <c r="I1100" s="11">
        <v>8</v>
      </c>
      <c r="J1100" s="11">
        <v>14.7</v>
      </c>
      <c r="K1100" s="11">
        <v>17.8</v>
      </c>
      <c r="L1100" s="11">
        <v>19</v>
      </c>
      <c r="M1100" s="11">
        <v>18.100000000000001</v>
      </c>
      <c r="N1100" s="11">
        <v>13.1</v>
      </c>
      <c r="O1100" s="11">
        <v>6.8</v>
      </c>
      <c r="P1100" s="11">
        <v>0.8</v>
      </c>
      <c r="Q1100" s="11">
        <v>-3.8</v>
      </c>
      <c r="R1100" s="10">
        <v>6.7</v>
      </c>
      <c r="S1100" s="12">
        <v>625</v>
      </c>
      <c r="T1100" s="8" t="s">
        <v>710</v>
      </c>
      <c r="U1100" s="11">
        <v>-29</v>
      </c>
      <c r="V1100" s="11">
        <v>-26</v>
      </c>
      <c r="W1100" s="11">
        <v>-25</v>
      </c>
      <c r="X1100" s="11">
        <v>-23</v>
      </c>
      <c r="Y1100" s="11">
        <v>-11</v>
      </c>
      <c r="Z1100" s="11">
        <v>-34</v>
      </c>
      <c r="AA1100" s="11" t="s">
        <v>49</v>
      </c>
      <c r="AB1100" s="11">
        <v>118</v>
      </c>
      <c r="AC1100" s="11">
        <v>-4.8</v>
      </c>
      <c r="AD1100" s="11">
        <v>184</v>
      </c>
      <c r="AE1100" s="11">
        <v>-1.7</v>
      </c>
      <c r="AF1100" s="11">
        <v>200</v>
      </c>
      <c r="AG1100" s="11">
        <v>-0.8</v>
      </c>
      <c r="AH1100" s="11" t="s">
        <v>49</v>
      </c>
      <c r="AI1100" s="11" t="s">
        <v>49</v>
      </c>
      <c r="AJ1100" s="11">
        <v>237</v>
      </c>
      <c r="AK1100" s="11" t="s">
        <v>66</v>
      </c>
      <c r="AL1100" s="11" t="s">
        <v>44</v>
      </c>
      <c r="AM1100" s="10" t="s">
        <v>44</v>
      </c>
      <c r="AN1100" s="9">
        <v>626</v>
      </c>
      <c r="AO1100" s="8" t="s">
        <v>711</v>
      </c>
      <c r="AP1100" s="8">
        <v>995</v>
      </c>
      <c r="AQ1100" s="8">
        <v>27</v>
      </c>
      <c r="AR1100" s="8">
        <v>23</v>
      </c>
      <c r="AS1100" s="8">
        <v>24.9</v>
      </c>
      <c r="AT1100" s="8">
        <v>39</v>
      </c>
      <c r="AU1100" s="8" t="s">
        <v>46</v>
      </c>
      <c r="AV1100" s="8" t="s">
        <v>45</v>
      </c>
      <c r="AW1100" s="8" t="s">
        <v>44</v>
      </c>
      <c r="AX1100" s="8" t="s">
        <v>44</v>
      </c>
      <c r="AY1100" s="8">
        <v>86</v>
      </c>
      <c r="AZ1100" s="8" t="s">
        <v>54</v>
      </c>
      <c r="BA1100" s="7">
        <v>1.2</v>
      </c>
      <c r="BB1100" s="9"/>
      <c r="BC1100" s="8" t="s">
        <v>710</v>
      </c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7"/>
    </row>
    <row r="1101" spans="1:68" ht="14.25" customHeight="1">
      <c r="A1101" s="12">
        <v>444</v>
      </c>
      <c r="B1101" s="14">
        <v>274</v>
      </c>
      <c r="C1101" s="13" t="s">
        <v>30</v>
      </c>
      <c r="D1101" s="13" t="s">
        <v>517</v>
      </c>
      <c r="E1101" s="13" t="s">
        <v>707</v>
      </c>
      <c r="F1101" s="11">
        <v>-5.7</v>
      </c>
      <c r="G1101" s="11">
        <v>-4.8</v>
      </c>
      <c r="H1101" s="11">
        <v>0.6</v>
      </c>
      <c r="I1101" s="11">
        <v>9.4</v>
      </c>
      <c r="J1101" s="11">
        <v>16.2</v>
      </c>
      <c r="K1101" s="11">
        <v>20.2</v>
      </c>
      <c r="L1101" s="11">
        <v>23</v>
      </c>
      <c r="M1101" s="11">
        <v>22.1</v>
      </c>
      <c r="N1101" s="11">
        <v>16.3</v>
      </c>
      <c r="O1101" s="11">
        <v>9.1999999999999993</v>
      </c>
      <c r="P1101" s="11">
        <v>2.5</v>
      </c>
      <c r="Q1101" s="11">
        <v>-2.6</v>
      </c>
      <c r="R1101" s="10">
        <v>8.9</v>
      </c>
      <c r="S1101" s="12">
        <v>274</v>
      </c>
      <c r="T1101" s="8" t="s">
        <v>709</v>
      </c>
      <c r="U1101" s="11">
        <v>-29</v>
      </c>
      <c r="V1101" s="11">
        <v>-27</v>
      </c>
      <c r="W1101" s="11">
        <v>-25</v>
      </c>
      <c r="X1101" s="11">
        <v>-22</v>
      </c>
      <c r="Y1101" s="11">
        <v>-11</v>
      </c>
      <c r="Z1101" s="11">
        <v>-33</v>
      </c>
      <c r="AA1101" s="11">
        <v>6.1</v>
      </c>
      <c r="AB1101" s="11">
        <v>102</v>
      </c>
      <c r="AC1101" s="11">
        <v>-3.6</v>
      </c>
      <c r="AD1101" s="11">
        <v>171</v>
      </c>
      <c r="AE1101" s="11">
        <v>-0.6</v>
      </c>
      <c r="AF1101" s="11">
        <v>188</v>
      </c>
      <c r="AG1101" s="11">
        <v>0.2</v>
      </c>
      <c r="AH1101" s="11">
        <v>85</v>
      </c>
      <c r="AI1101" s="11">
        <v>77</v>
      </c>
      <c r="AJ1101" s="11">
        <v>219</v>
      </c>
      <c r="AK1101" s="11" t="s">
        <v>66</v>
      </c>
      <c r="AL1101" s="11">
        <v>6.5</v>
      </c>
      <c r="AM1101" s="10">
        <v>4.4000000000000004</v>
      </c>
      <c r="AN1101" s="9">
        <v>274</v>
      </c>
      <c r="AO1101" s="8" t="s">
        <v>708</v>
      </c>
      <c r="AP1101" s="8">
        <v>1005</v>
      </c>
      <c r="AQ1101" s="8">
        <v>26.1</v>
      </c>
      <c r="AR1101" s="8">
        <v>30</v>
      </c>
      <c r="AS1101" s="8">
        <v>29.1</v>
      </c>
      <c r="AT1101" s="8">
        <v>40</v>
      </c>
      <c r="AU1101" s="8">
        <v>12.2</v>
      </c>
      <c r="AV1101" s="8">
        <v>58</v>
      </c>
      <c r="AW1101" s="8">
        <v>45</v>
      </c>
      <c r="AX1101" s="8">
        <v>336</v>
      </c>
      <c r="AY1101" s="8">
        <v>100</v>
      </c>
      <c r="AZ1101" s="8" t="s">
        <v>63</v>
      </c>
      <c r="BA1101" s="7">
        <v>3.6</v>
      </c>
      <c r="BB1101" s="9">
        <v>245</v>
      </c>
      <c r="BC1101" s="8" t="s">
        <v>707</v>
      </c>
      <c r="BD1101" s="8">
        <v>4</v>
      </c>
      <c r="BE1101" s="8">
        <v>4.3</v>
      </c>
      <c r="BF1101" s="8">
        <v>5.4</v>
      </c>
      <c r="BG1101" s="8">
        <v>8.1</v>
      </c>
      <c r="BH1101" s="8">
        <v>11.1</v>
      </c>
      <c r="BI1101" s="8">
        <v>14.5</v>
      </c>
      <c r="BJ1101" s="8">
        <v>16</v>
      </c>
      <c r="BK1101" s="8">
        <v>14.9</v>
      </c>
      <c r="BL1101" s="8">
        <v>11.6</v>
      </c>
      <c r="BM1101" s="8">
        <v>8.6999999999999993</v>
      </c>
      <c r="BN1101" s="8">
        <v>6.9</v>
      </c>
      <c r="BO1101" s="8">
        <v>5.2</v>
      </c>
      <c r="BP1101" s="7">
        <v>9.1999999999999993</v>
      </c>
    </row>
    <row r="1102" spans="1:68" ht="14.25" customHeight="1">
      <c r="A1102" s="12">
        <v>445</v>
      </c>
      <c r="B1102" s="14">
        <v>11</v>
      </c>
      <c r="C1102" s="13" t="s">
        <v>30</v>
      </c>
      <c r="D1102" s="13" t="s">
        <v>438</v>
      </c>
      <c r="E1102" s="13" t="s">
        <v>704</v>
      </c>
      <c r="F1102" s="11">
        <v>-17.5</v>
      </c>
      <c r="G1102" s="11">
        <v>-16.399999999999999</v>
      </c>
      <c r="H1102" s="11">
        <v>-8.9</v>
      </c>
      <c r="I1102" s="11">
        <v>3.6</v>
      </c>
      <c r="J1102" s="11">
        <v>12.6</v>
      </c>
      <c r="K1102" s="11">
        <v>18.7</v>
      </c>
      <c r="L1102" s="11">
        <v>20.5</v>
      </c>
      <c r="M1102" s="11">
        <v>17.7</v>
      </c>
      <c r="N1102" s="11">
        <v>11.8</v>
      </c>
      <c r="O1102" s="11">
        <v>3.7</v>
      </c>
      <c r="P1102" s="11">
        <v>-7.1</v>
      </c>
      <c r="Q1102" s="11">
        <v>-14.9</v>
      </c>
      <c r="R1102" s="10">
        <v>2</v>
      </c>
      <c r="S1102" s="12">
        <v>11</v>
      </c>
      <c r="T1102" s="8" t="s">
        <v>706</v>
      </c>
      <c r="U1102" s="11">
        <v>-44</v>
      </c>
      <c r="V1102" s="11">
        <v>-41</v>
      </c>
      <c r="W1102" s="11">
        <v>-41</v>
      </c>
      <c r="X1102" s="11">
        <v>-38</v>
      </c>
      <c r="Y1102" s="11">
        <v>-23</v>
      </c>
      <c r="Z1102" s="11">
        <v>-49</v>
      </c>
      <c r="AA1102" s="11">
        <v>9.6999999999999993</v>
      </c>
      <c r="AB1102" s="11">
        <v>162</v>
      </c>
      <c r="AC1102" s="11">
        <v>-11</v>
      </c>
      <c r="AD1102" s="11">
        <v>213</v>
      </c>
      <c r="AE1102" s="11">
        <v>-7.4</v>
      </c>
      <c r="AF1102" s="11">
        <v>227</v>
      </c>
      <c r="AG1102" s="11">
        <v>-6.4</v>
      </c>
      <c r="AH1102" s="11">
        <v>80</v>
      </c>
      <c r="AI1102" s="11">
        <v>79</v>
      </c>
      <c r="AJ1102" s="11">
        <v>115</v>
      </c>
      <c r="AK1102" s="11" t="s">
        <v>34</v>
      </c>
      <c r="AL1102" s="11">
        <v>7.9</v>
      </c>
      <c r="AM1102" s="10" t="s">
        <v>44</v>
      </c>
      <c r="AN1102" s="9">
        <v>11</v>
      </c>
      <c r="AO1102" s="8" t="s">
        <v>705</v>
      </c>
      <c r="AP1102" s="8">
        <v>985</v>
      </c>
      <c r="AQ1102" s="8">
        <v>25.1</v>
      </c>
      <c r="AR1102" s="8">
        <v>29.1</v>
      </c>
      <c r="AS1102" s="8">
        <v>27.4</v>
      </c>
      <c r="AT1102" s="8">
        <v>41</v>
      </c>
      <c r="AU1102" s="8">
        <v>13.5</v>
      </c>
      <c r="AV1102" s="8">
        <v>65</v>
      </c>
      <c r="AW1102" s="8">
        <v>46</v>
      </c>
      <c r="AX1102" s="8">
        <v>255</v>
      </c>
      <c r="AY1102" s="8" t="s">
        <v>64</v>
      </c>
      <c r="AZ1102" s="8" t="s">
        <v>37</v>
      </c>
      <c r="BA1102" s="7">
        <v>0</v>
      </c>
      <c r="BB1102" s="9">
        <v>7</v>
      </c>
      <c r="BC1102" s="8" t="s">
        <v>704</v>
      </c>
      <c r="BD1102" s="8">
        <v>1.6</v>
      </c>
      <c r="BE1102" s="8">
        <v>1.7</v>
      </c>
      <c r="BF1102" s="8">
        <v>3</v>
      </c>
      <c r="BG1102" s="8">
        <v>5.6</v>
      </c>
      <c r="BH1102" s="8">
        <v>8.1999999999999993</v>
      </c>
      <c r="BI1102" s="8">
        <v>12.4</v>
      </c>
      <c r="BJ1102" s="8">
        <v>15.1</v>
      </c>
      <c r="BK1102" s="8">
        <v>12.8</v>
      </c>
      <c r="BL1102" s="8">
        <v>8.6999999999999993</v>
      </c>
      <c r="BM1102" s="8">
        <v>5.6</v>
      </c>
      <c r="BN1102" s="8">
        <v>3.2</v>
      </c>
      <c r="BO1102" s="8">
        <v>2</v>
      </c>
      <c r="BP1102" s="7">
        <v>6.6</v>
      </c>
    </row>
    <row r="1103" spans="1:68" ht="14.25" customHeight="1">
      <c r="A1103" s="12">
        <v>446</v>
      </c>
      <c r="B1103" s="14">
        <v>268</v>
      </c>
      <c r="C1103" s="13" t="s">
        <v>30</v>
      </c>
      <c r="D1103" s="13" t="s">
        <v>154</v>
      </c>
      <c r="E1103" s="13" t="s">
        <v>701</v>
      </c>
      <c r="F1103" s="11">
        <v>-11.9</v>
      </c>
      <c r="G1103" s="11">
        <v>-9</v>
      </c>
      <c r="H1103" s="11">
        <v>-2.8</v>
      </c>
      <c r="I1103" s="11">
        <v>3.3</v>
      </c>
      <c r="J1103" s="11">
        <v>7.5</v>
      </c>
      <c r="K1103" s="11">
        <v>11.1</v>
      </c>
      <c r="L1103" s="11">
        <v>15.9</v>
      </c>
      <c r="M1103" s="11">
        <v>18.3</v>
      </c>
      <c r="N1103" s="11">
        <v>14.3</v>
      </c>
      <c r="O1103" s="11">
        <v>7.3</v>
      </c>
      <c r="P1103" s="11">
        <v>-1.8</v>
      </c>
      <c r="Q1103" s="11">
        <v>-9.6</v>
      </c>
      <c r="R1103" s="10">
        <v>3.6</v>
      </c>
      <c r="S1103" s="12">
        <v>268</v>
      </c>
      <c r="T1103" s="8" t="s">
        <v>703</v>
      </c>
      <c r="U1103" s="11">
        <v>-25</v>
      </c>
      <c r="V1103" s="11">
        <v>-23</v>
      </c>
      <c r="W1103" s="11">
        <v>-21</v>
      </c>
      <c r="X1103" s="11">
        <v>-20</v>
      </c>
      <c r="Y1103" s="11">
        <v>-17</v>
      </c>
      <c r="Z1103" s="11">
        <v>-30</v>
      </c>
      <c r="AA1103" s="11">
        <v>10</v>
      </c>
      <c r="AB1103" s="11">
        <v>140</v>
      </c>
      <c r="AC1103" s="11">
        <v>-7.2</v>
      </c>
      <c r="AD1103" s="11">
        <v>219</v>
      </c>
      <c r="AE1103" s="11">
        <v>-3.1</v>
      </c>
      <c r="AF1103" s="11">
        <v>245</v>
      </c>
      <c r="AG1103" s="11">
        <v>-1.8</v>
      </c>
      <c r="AH1103" s="11">
        <v>46</v>
      </c>
      <c r="AI1103" s="11">
        <v>40</v>
      </c>
      <c r="AJ1103" s="11">
        <v>124</v>
      </c>
      <c r="AK1103" s="11" t="s">
        <v>48</v>
      </c>
      <c r="AL1103" s="11">
        <v>9.1</v>
      </c>
      <c r="AM1103" s="10">
        <v>4.0999999999999996</v>
      </c>
      <c r="AN1103" s="9">
        <v>268</v>
      </c>
      <c r="AO1103" s="8" t="s">
        <v>702</v>
      </c>
      <c r="AP1103" s="8">
        <v>1010</v>
      </c>
      <c r="AQ1103" s="8">
        <v>20</v>
      </c>
      <c r="AR1103" s="8">
        <v>24.3</v>
      </c>
      <c r="AS1103" s="8">
        <v>22.4</v>
      </c>
      <c r="AT1103" s="8">
        <v>38</v>
      </c>
      <c r="AU1103" s="8">
        <v>7.2</v>
      </c>
      <c r="AV1103" s="8">
        <v>86</v>
      </c>
      <c r="AW1103" s="8">
        <v>83</v>
      </c>
      <c r="AX1103" s="8">
        <v>664</v>
      </c>
      <c r="AY1103" s="8">
        <v>175</v>
      </c>
      <c r="AZ1103" s="8" t="s">
        <v>63</v>
      </c>
      <c r="BA1103" s="7">
        <v>0</v>
      </c>
      <c r="BB1103" s="9">
        <v>239</v>
      </c>
      <c r="BC1103" s="8" t="s">
        <v>701</v>
      </c>
      <c r="BD1103" s="8">
        <v>1.2</v>
      </c>
      <c r="BE1103" s="8">
        <v>1.6</v>
      </c>
      <c r="BF1103" s="8">
        <v>2.9</v>
      </c>
      <c r="BG1103" s="8">
        <v>5.0999999999999996</v>
      </c>
      <c r="BH1103" s="8">
        <v>7.7</v>
      </c>
      <c r="BI1103" s="8">
        <v>11.4</v>
      </c>
      <c r="BJ1103" s="8">
        <v>16.100000000000001</v>
      </c>
      <c r="BK1103" s="8">
        <v>18.100000000000001</v>
      </c>
      <c r="BL1103" s="8">
        <v>12.6</v>
      </c>
      <c r="BM1103" s="8">
        <v>6.6</v>
      </c>
      <c r="BN1103" s="8">
        <v>3.1</v>
      </c>
      <c r="BO1103" s="8">
        <v>1.6</v>
      </c>
      <c r="BP1103" s="7">
        <v>7.3</v>
      </c>
    </row>
    <row r="1104" spans="1:68" ht="14.25" customHeight="1">
      <c r="A1104" s="12">
        <v>447</v>
      </c>
      <c r="B1104" s="14">
        <v>298</v>
      </c>
      <c r="C1104" s="13" t="s">
        <v>30</v>
      </c>
      <c r="D1104" s="13" t="s">
        <v>72</v>
      </c>
      <c r="E1104" s="13" t="s">
        <v>698</v>
      </c>
      <c r="F1104" s="11">
        <v>-22.3</v>
      </c>
      <c r="G1104" s="11">
        <v>-20.100000000000001</v>
      </c>
      <c r="H1104" s="11">
        <v>-14.3</v>
      </c>
      <c r="I1104" s="11">
        <v>-4.5999999999999996</v>
      </c>
      <c r="J1104" s="11">
        <v>1.8</v>
      </c>
      <c r="K1104" s="11">
        <v>9.4</v>
      </c>
      <c r="L1104" s="11">
        <v>14.4</v>
      </c>
      <c r="M1104" s="11">
        <v>15.1</v>
      </c>
      <c r="N1104" s="11">
        <v>11.1</v>
      </c>
      <c r="O1104" s="11">
        <v>3.4</v>
      </c>
      <c r="P1104" s="11">
        <v>-6.9</v>
      </c>
      <c r="Q1104" s="11">
        <v>-17.399999999999999</v>
      </c>
      <c r="R1104" s="10">
        <v>-2.5</v>
      </c>
      <c r="S1104" s="12">
        <v>298</v>
      </c>
      <c r="T1104" s="8" t="s">
        <v>700</v>
      </c>
      <c r="U1104" s="11">
        <v>-38</v>
      </c>
      <c r="V1104" s="11">
        <v>-36</v>
      </c>
      <c r="W1104" s="11">
        <v>-35</v>
      </c>
      <c r="X1104" s="11">
        <v>-33</v>
      </c>
      <c r="Y1104" s="11">
        <v>-27</v>
      </c>
      <c r="Z1104" s="11">
        <v>-45</v>
      </c>
      <c r="AA1104" s="11">
        <v>8.5</v>
      </c>
      <c r="AB1104" s="11">
        <v>193</v>
      </c>
      <c r="AC1104" s="11">
        <v>-13.1</v>
      </c>
      <c r="AD1104" s="11">
        <v>255</v>
      </c>
      <c r="AE1104" s="11">
        <v>-8.9</v>
      </c>
      <c r="AF1104" s="11">
        <v>272</v>
      </c>
      <c r="AG1104" s="11">
        <v>-7.3</v>
      </c>
      <c r="AH1104" s="11">
        <v>84</v>
      </c>
      <c r="AI1104" s="11">
        <v>84</v>
      </c>
      <c r="AJ1104" s="11">
        <v>135</v>
      </c>
      <c r="AK1104" s="11" t="s">
        <v>75</v>
      </c>
      <c r="AL1104" s="11" t="s">
        <v>44</v>
      </c>
      <c r="AM1104" s="10">
        <v>5.3</v>
      </c>
      <c r="AN1104" s="9">
        <v>292</v>
      </c>
      <c r="AO1104" s="8" t="s">
        <v>699</v>
      </c>
      <c r="AP1104" s="8">
        <v>1010</v>
      </c>
      <c r="AQ1104" s="8">
        <v>16.399999999999999</v>
      </c>
      <c r="AR1104" s="8">
        <v>20.9</v>
      </c>
      <c r="AS1104" s="8">
        <v>18.8</v>
      </c>
      <c r="AT1104" s="8">
        <v>29</v>
      </c>
      <c r="AU1104" s="8">
        <v>6.9</v>
      </c>
      <c r="AV1104" s="8">
        <v>86</v>
      </c>
      <c r="AW1104" s="8">
        <v>80</v>
      </c>
      <c r="AX1104" s="8">
        <v>390</v>
      </c>
      <c r="AY1104" s="8">
        <v>74</v>
      </c>
      <c r="AZ1104" s="8" t="s">
        <v>151</v>
      </c>
      <c r="BA1104" s="7" t="s">
        <v>46</v>
      </c>
      <c r="BB1104" s="9">
        <v>263</v>
      </c>
      <c r="BC1104" s="8" t="s">
        <v>698</v>
      </c>
      <c r="BD1104" s="8">
        <v>1</v>
      </c>
      <c r="BE1104" s="8">
        <v>1.2</v>
      </c>
      <c r="BF1104" s="8">
        <v>2</v>
      </c>
      <c r="BG1104" s="8">
        <v>3.9</v>
      </c>
      <c r="BH1104" s="8">
        <v>6</v>
      </c>
      <c r="BI1104" s="8">
        <v>10</v>
      </c>
      <c r="BJ1104" s="8">
        <v>14.2</v>
      </c>
      <c r="BK1104" s="8">
        <v>14.9</v>
      </c>
      <c r="BL1104" s="8">
        <v>11.1</v>
      </c>
      <c r="BM1104" s="8">
        <v>6.3</v>
      </c>
      <c r="BN1104" s="8">
        <v>3.1</v>
      </c>
      <c r="BO1104" s="8">
        <v>1.6</v>
      </c>
      <c r="BP1104" s="7">
        <v>6.3</v>
      </c>
    </row>
    <row r="1105" spans="1:68" ht="14.25" customHeight="1">
      <c r="A1105" s="12">
        <v>448</v>
      </c>
      <c r="B1105" s="14">
        <v>276</v>
      </c>
      <c r="C1105" s="13" t="s">
        <v>30</v>
      </c>
      <c r="D1105" s="13" t="s">
        <v>697</v>
      </c>
      <c r="E1105" s="13" t="s">
        <v>694</v>
      </c>
      <c r="F1105" s="11">
        <v>-11</v>
      </c>
      <c r="G1105" s="11">
        <v>-10</v>
      </c>
      <c r="H1105" s="11">
        <v>-4.7</v>
      </c>
      <c r="I1105" s="11">
        <v>5.2</v>
      </c>
      <c r="J1105" s="11">
        <v>12.9</v>
      </c>
      <c r="K1105" s="11">
        <v>17.3</v>
      </c>
      <c r="L1105" s="11">
        <v>18.5</v>
      </c>
      <c r="M1105" s="11">
        <v>17.2</v>
      </c>
      <c r="N1105" s="11">
        <v>11.6</v>
      </c>
      <c r="O1105" s="11">
        <v>4.4000000000000004</v>
      </c>
      <c r="P1105" s="11">
        <v>-2.2000000000000002</v>
      </c>
      <c r="Q1105" s="11">
        <v>-7</v>
      </c>
      <c r="R1105" s="10">
        <v>4.3</v>
      </c>
      <c r="S1105" s="12">
        <v>276</v>
      </c>
      <c r="T1105" s="8" t="s">
        <v>696</v>
      </c>
      <c r="U1105" s="11">
        <v>-36</v>
      </c>
      <c r="V1105" s="11">
        <v>-33</v>
      </c>
      <c r="W1105" s="11">
        <v>-30</v>
      </c>
      <c r="X1105" s="11">
        <v>-27</v>
      </c>
      <c r="Y1105" s="11">
        <v>-16</v>
      </c>
      <c r="Z1105" s="11">
        <v>-41</v>
      </c>
      <c r="AA1105" s="11">
        <v>7</v>
      </c>
      <c r="AB1105" s="11">
        <v>145</v>
      </c>
      <c r="AC1105" s="11">
        <v>-6.8</v>
      </c>
      <c r="AD1105" s="11">
        <v>208</v>
      </c>
      <c r="AE1105" s="11">
        <v>-3.5</v>
      </c>
      <c r="AF1105" s="11">
        <v>224</v>
      </c>
      <c r="AG1105" s="11">
        <v>-2.6</v>
      </c>
      <c r="AH1105" s="11">
        <v>83</v>
      </c>
      <c r="AI1105" s="11">
        <v>84</v>
      </c>
      <c r="AJ1105" s="11">
        <v>172</v>
      </c>
      <c r="AK1105" s="11" t="s">
        <v>34</v>
      </c>
      <c r="AL1105" s="11">
        <v>7.3</v>
      </c>
      <c r="AM1105" s="10">
        <v>4.8</v>
      </c>
      <c r="AN1105" s="9">
        <v>276</v>
      </c>
      <c r="AO1105" s="8" t="s">
        <v>695</v>
      </c>
      <c r="AP1105" s="8">
        <v>1000</v>
      </c>
      <c r="AQ1105" s="8">
        <v>21.7</v>
      </c>
      <c r="AR1105" s="8">
        <v>25.9</v>
      </c>
      <c r="AS1105" s="8">
        <v>24.1</v>
      </c>
      <c r="AT1105" s="8">
        <v>38</v>
      </c>
      <c r="AU1105" s="8">
        <v>10.5</v>
      </c>
      <c r="AV1105" s="8">
        <v>71</v>
      </c>
      <c r="AW1105" s="8">
        <v>54</v>
      </c>
      <c r="AX1105" s="8">
        <v>349</v>
      </c>
      <c r="AY1105" s="8">
        <v>91</v>
      </c>
      <c r="AZ1105" s="8" t="s">
        <v>43</v>
      </c>
      <c r="BA1105" s="7">
        <v>4.0999999999999996</v>
      </c>
      <c r="BB1105" s="9">
        <v>247</v>
      </c>
      <c r="BC1105" s="8" t="s">
        <v>694</v>
      </c>
      <c r="BD1105" s="8">
        <v>2.5</v>
      </c>
      <c r="BE1105" s="8">
        <v>2.7</v>
      </c>
      <c r="BF1105" s="8">
        <v>3.8</v>
      </c>
      <c r="BG1105" s="8">
        <v>6.6</v>
      </c>
      <c r="BH1105" s="8">
        <v>9.4</v>
      </c>
      <c r="BI1105" s="8">
        <v>12.6</v>
      </c>
      <c r="BJ1105" s="8">
        <v>14.9</v>
      </c>
      <c r="BK1105" s="8">
        <v>14.1</v>
      </c>
      <c r="BL1105" s="8">
        <v>10.3</v>
      </c>
      <c r="BM1105" s="8">
        <v>7.1</v>
      </c>
      <c r="BN1105" s="8">
        <v>4.8</v>
      </c>
      <c r="BO1105" s="8">
        <v>3.6</v>
      </c>
      <c r="BP1105" s="7">
        <v>7.7</v>
      </c>
    </row>
    <row r="1106" spans="1:68" ht="14.25" customHeight="1">
      <c r="A1106" s="12">
        <v>449</v>
      </c>
      <c r="B1106" s="14">
        <v>149</v>
      </c>
      <c r="C1106" s="13" t="s">
        <v>30</v>
      </c>
      <c r="D1106" s="13" t="s">
        <v>693</v>
      </c>
      <c r="E1106" s="13" t="s">
        <v>690</v>
      </c>
      <c r="F1106" s="11">
        <v>-14</v>
      </c>
      <c r="G1106" s="11">
        <v>-13.2</v>
      </c>
      <c r="H1106" s="11">
        <v>-7.4</v>
      </c>
      <c r="I1106" s="11">
        <v>2.8</v>
      </c>
      <c r="J1106" s="11">
        <v>11.6</v>
      </c>
      <c r="K1106" s="11">
        <v>16.8</v>
      </c>
      <c r="L1106" s="11">
        <v>18.8</v>
      </c>
      <c r="M1106" s="11">
        <v>16.8</v>
      </c>
      <c r="N1106" s="11">
        <v>10.4</v>
      </c>
      <c r="O1106" s="11">
        <v>2.8</v>
      </c>
      <c r="P1106" s="11">
        <v>-5.2</v>
      </c>
      <c r="Q1106" s="11">
        <v>-11.5</v>
      </c>
      <c r="R1106" s="10">
        <v>2.4</v>
      </c>
      <c r="S1106" s="12">
        <v>149</v>
      </c>
      <c r="T1106" s="8" t="s">
        <v>692</v>
      </c>
      <c r="U1106" s="11">
        <v>-40</v>
      </c>
      <c r="V1106" s="11">
        <v>-37</v>
      </c>
      <c r="W1106" s="11">
        <v>-37</v>
      </c>
      <c r="X1106" s="11">
        <v>-33</v>
      </c>
      <c r="Y1106" s="11">
        <v>-19</v>
      </c>
      <c r="Z1106" s="11">
        <v>-48</v>
      </c>
      <c r="AA1106" s="11">
        <v>7.2</v>
      </c>
      <c r="AB1106" s="11">
        <v>162</v>
      </c>
      <c r="AC1106" s="11">
        <v>-9.1</v>
      </c>
      <c r="AD1106" s="11">
        <v>220</v>
      </c>
      <c r="AE1106" s="11">
        <v>-5.7</v>
      </c>
      <c r="AF1106" s="11">
        <v>235</v>
      </c>
      <c r="AG1106" s="11">
        <v>-4.7</v>
      </c>
      <c r="AH1106" s="11">
        <v>82</v>
      </c>
      <c r="AI1106" s="11">
        <v>80</v>
      </c>
      <c r="AJ1106" s="11">
        <v>229</v>
      </c>
      <c r="AK1106" s="11" t="s">
        <v>39</v>
      </c>
      <c r="AL1106" s="11" t="s">
        <v>44</v>
      </c>
      <c r="AM1106" s="10">
        <v>4.7</v>
      </c>
      <c r="AN1106" s="9">
        <v>149</v>
      </c>
      <c r="AO1106" s="8" t="s">
        <v>691</v>
      </c>
      <c r="AP1106" s="8">
        <v>1000</v>
      </c>
      <c r="AQ1106" s="8">
        <v>22</v>
      </c>
      <c r="AR1106" s="8">
        <v>26.2</v>
      </c>
      <c r="AS1106" s="8">
        <v>24.4</v>
      </c>
      <c r="AT1106" s="8">
        <v>38</v>
      </c>
      <c r="AU1106" s="8">
        <v>11.5</v>
      </c>
      <c r="AV1106" s="8">
        <v>68</v>
      </c>
      <c r="AW1106" s="8">
        <v>53</v>
      </c>
      <c r="AX1106" s="8">
        <v>381</v>
      </c>
      <c r="AY1106" s="8">
        <v>62</v>
      </c>
      <c r="AZ1106" s="8" t="s">
        <v>54</v>
      </c>
      <c r="BA1106" s="7" t="s">
        <v>46</v>
      </c>
      <c r="BB1106" s="9"/>
      <c r="BC1106" s="8" t="s">
        <v>690</v>
      </c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7"/>
    </row>
    <row r="1107" spans="1:68" ht="14.25" customHeight="1">
      <c r="A1107" s="12">
        <v>450</v>
      </c>
      <c r="B1107" s="14">
        <v>485</v>
      </c>
      <c r="C1107" s="13" t="s">
        <v>105</v>
      </c>
      <c r="D1107" s="13" t="s">
        <v>105</v>
      </c>
      <c r="E1107" s="13" t="s">
        <v>689</v>
      </c>
      <c r="F1107" s="11">
        <v>4.2</v>
      </c>
      <c r="G1107" s="11">
        <v>5.2</v>
      </c>
      <c r="H1107" s="11">
        <v>8.6999999999999993</v>
      </c>
      <c r="I1107" s="11">
        <v>13.8</v>
      </c>
      <c r="J1107" s="11">
        <v>17.899999999999999</v>
      </c>
      <c r="K1107" s="11">
        <v>21.1</v>
      </c>
      <c r="L1107" s="11">
        <v>23.2</v>
      </c>
      <c r="M1107" s="11">
        <v>23.7</v>
      </c>
      <c r="N1107" s="11">
        <v>20.3</v>
      </c>
      <c r="O1107" s="11">
        <v>15.3</v>
      </c>
      <c r="P1107" s="11">
        <v>10.6</v>
      </c>
      <c r="Q1107" s="11">
        <v>6.3</v>
      </c>
      <c r="R1107" s="10">
        <v>14.2</v>
      </c>
      <c r="S1107" s="12">
        <v>485</v>
      </c>
      <c r="T1107" s="8" t="s">
        <v>687</v>
      </c>
      <c r="U1107" s="11">
        <v>-10</v>
      </c>
      <c r="V1107" s="11">
        <v>-8</v>
      </c>
      <c r="W1107" s="11">
        <v>-8</v>
      </c>
      <c r="X1107" s="11">
        <v>-3</v>
      </c>
      <c r="Y1107" s="11">
        <v>2</v>
      </c>
      <c r="Z1107" s="11">
        <v>-20</v>
      </c>
      <c r="AA1107" s="11">
        <v>7.8</v>
      </c>
      <c r="AB1107" s="11">
        <v>0</v>
      </c>
      <c r="AC1107" s="11" t="s">
        <v>50</v>
      </c>
      <c r="AD1107" s="11">
        <v>98</v>
      </c>
      <c r="AE1107" s="11">
        <v>5.3</v>
      </c>
      <c r="AF1107" s="11">
        <v>125</v>
      </c>
      <c r="AG1107" s="11">
        <v>6.2</v>
      </c>
      <c r="AH1107" s="11" t="s">
        <v>49</v>
      </c>
      <c r="AI1107" s="11">
        <v>61</v>
      </c>
      <c r="AJ1107" s="11">
        <v>604</v>
      </c>
      <c r="AK1107" s="11" t="s">
        <v>66</v>
      </c>
      <c r="AL1107" s="11" t="s">
        <v>44</v>
      </c>
      <c r="AM1107" s="10">
        <v>1.8</v>
      </c>
      <c r="AN1107" s="9">
        <v>485</v>
      </c>
      <c r="AO1107" s="8" t="s">
        <v>688</v>
      </c>
      <c r="AP1107" s="8">
        <v>1000</v>
      </c>
      <c r="AQ1107" s="8">
        <v>26</v>
      </c>
      <c r="AR1107" s="8">
        <v>33</v>
      </c>
      <c r="AS1107" s="8">
        <v>30.7</v>
      </c>
      <c r="AT1107" s="8">
        <v>42</v>
      </c>
      <c r="AU1107" s="8">
        <v>11.1</v>
      </c>
      <c r="AV1107" s="8">
        <v>74</v>
      </c>
      <c r="AW1107" s="8">
        <v>58</v>
      </c>
      <c r="AX1107" s="8" t="s">
        <v>44</v>
      </c>
      <c r="AY1107" s="8">
        <v>94</v>
      </c>
      <c r="AZ1107" s="8" t="s">
        <v>43</v>
      </c>
      <c r="BA1107" s="7">
        <v>0.3</v>
      </c>
      <c r="BB1107" s="9"/>
      <c r="BC1107" s="8" t="s">
        <v>687</v>
      </c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7"/>
    </row>
    <row r="1108" spans="1:68" ht="14.25" customHeight="1">
      <c r="A1108" s="12">
        <v>451</v>
      </c>
      <c r="B1108" s="14">
        <v>331</v>
      </c>
      <c r="C1108" s="13" t="s">
        <v>30</v>
      </c>
      <c r="D1108" s="13" t="s">
        <v>259</v>
      </c>
      <c r="E1108" s="13" t="s">
        <v>684</v>
      </c>
      <c r="F1108" s="11">
        <v>-24.5</v>
      </c>
      <c r="G1108" s="11">
        <v>-23.4</v>
      </c>
      <c r="H1108" s="11">
        <v>-18.600000000000001</v>
      </c>
      <c r="I1108" s="11">
        <v>-10.199999999999999</v>
      </c>
      <c r="J1108" s="11">
        <v>-1.9</v>
      </c>
      <c r="K1108" s="11">
        <v>7.3</v>
      </c>
      <c r="L1108" s="11">
        <v>13.3</v>
      </c>
      <c r="M1108" s="11">
        <v>10.9</v>
      </c>
      <c r="N1108" s="11">
        <v>4.9000000000000004</v>
      </c>
      <c r="O1108" s="11">
        <v>-4.5999999999999996</v>
      </c>
      <c r="P1108" s="11">
        <v>-15.6</v>
      </c>
      <c r="Q1108" s="11">
        <v>-21.5</v>
      </c>
      <c r="R1108" s="10">
        <v>-7</v>
      </c>
      <c r="S1108" s="12">
        <v>331</v>
      </c>
      <c r="T1108" s="8" t="s">
        <v>686</v>
      </c>
      <c r="U1108" s="11">
        <v>-48</v>
      </c>
      <c r="V1108" s="11">
        <v>-46</v>
      </c>
      <c r="W1108" s="11">
        <v>-43</v>
      </c>
      <c r="X1108" s="11">
        <v>-42</v>
      </c>
      <c r="Y1108" s="11">
        <v>-29</v>
      </c>
      <c r="Z1108" s="11">
        <v>-54</v>
      </c>
      <c r="AA1108" s="11">
        <v>10.199999999999999</v>
      </c>
      <c r="AB1108" s="11">
        <v>233</v>
      </c>
      <c r="AC1108" s="11">
        <v>-15.3</v>
      </c>
      <c r="AD1108" s="11">
        <v>292</v>
      </c>
      <c r="AE1108" s="11">
        <v>-11.4</v>
      </c>
      <c r="AF1108" s="11">
        <v>313</v>
      </c>
      <c r="AG1108" s="11">
        <v>-10</v>
      </c>
      <c r="AH1108" s="11">
        <v>84</v>
      </c>
      <c r="AI1108" s="11">
        <v>84</v>
      </c>
      <c r="AJ1108" s="11">
        <v>101</v>
      </c>
      <c r="AK1108" s="11" t="s">
        <v>34</v>
      </c>
      <c r="AL1108" s="11">
        <v>4.5999999999999996</v>
      </c>
      <c r="AM1108" s="10">
        <v>5.0999999999999996</v>
      </c>
      <c r="AN1108" s="9">
        <v>331</v>
      </c>
      <c r="AO1108" s="8" t="s">
        <v>685</v>
      </c>
      <c r="AP1108" s="8">
        <v>1010</v>
      </c>
      <c r="AQ1108" s="8">
        <v>16.3</v>
      </c>
      <c r="AR1108" s="8">
        <v>20.8</v>
      </c>
      <c r="AS1108" s="8">
        <v>18.7</v>
      </c>
      <c r="AT1108" s="8">
        <v>31</v>
      </c>
      <c r="AU1108" s="8">
        <v>10.7</v>
      </c>
      <c r="AV1108" s="8">
        <v>71</v>
      </c>
      <c r="AW1108" s="8">
        <v>62</v>
      </c>
      <c r="AX1108" s="8">
        <v>310</v>
      </c>
      <c r="AY1108" s="8">
        <v>52</v>
      </c>
      <c r="AZ1108" s="8" t="s">
        <v>37</v>
      </c>
      <c r="BA1108" s="7">
        <v>5.3</v>
      </c>
      <c r="BB1108" s="9">
        <v>299</v>
      </c>
      <c r="BC1108" s="8" t="s">
        <v>684</v>
      </c>
      <c r="BD1108" s="8">
        <v>1</v>
      </c>
      <c r="BE1108" s="8">
        <v>1</v>
      </c>
      <c r="BF1108" s="8">
        <v>1.6</v>
      </c>
      <c r="BG1108" s="8">
        <v>3</v>
      </c>
      <c r="BH1108" s="8">
        <v>4.5999999999999996</v>
      </c>
      <c r="BI1108" s="8">
        <v>8</v>
      </c>
      <c r="BJ1108" s="8">
        <v>11.6</v>
      </c>
      <c r="BK1108" s="8">
        <v>10.7</v>
      </c>
      <c r="BL1108" s="8">
        <v>7.7</v>
      </c>
      <c r="BM1108" s="8">
        <v>4.2</v>
      </c>
      <c r="BN1108" s="8">
        <v>2.1</v>
      </c>
      <c r="BO1108" s="8">
        <v>1.3</v>
      </c>
      <c r="BP1108" s="7">
        <v>4.7</v>
      </c>
    </row>
    <row r="1109" spans="1:68" ht="14.25" customHeight="1">
      <c r="A1109" s="12">
        <v>452</v>
      </c>
      <c r="B1109" s="14">
        <v>277</v>
      </c>
      <c r="C1109" s="13" t="s">
        <v>30</v>
      </c>
      <c r="D1109" s="13" t="s">
        <v>683</v>
      </c>
      <c r="E1109" s="13" t="s">
        <v>680</v>
      </c>
      <c r="F1109" s="11">
        <v>-13.5</v>
      </c>
      <c r="G1109" s="11">
        <v>-12.6</v>
      </c>
      <c r="H1109" s="11">
        <v>-5.8</v>
      </c>
      <c r="I1109" s="11">
        <v>5.8</v>
      </c>
      <c r="J1109" s="11">
        <v>14.3</v>
      </c>
      <c r="K1109" s="11">
        <v>18.600000000000001</v>
      </c>
      <c r="L1109" s="11">
        <v>20.399999999999999</v>
      </c>
      <c r="M1109" s="11">
        <v>19</v>
      </c>
      <c r="N1109" s="11">
        <v>12.8</v>
      </c>
      <c r="O1109" s="11">
        <v>4.2</v>
      </c>
      <c r="P1109" s="11">
        <v>-3.4</v>
      </c>
      <c r="Q1109" s="11">
        <v>-9.6</v>
      </c>
      <c r="R1109" s="10">
        <v>4.2</v>
      </c>
      <c r="S1109" s="12">
        <v>277</v>
      </c>
      <c r="T1109" s="8" t="s">
        <v>682</v>
      </c>
      <c r="U1109" s="11">
        <v>-39</v>
      </c>
      <c r="V1109" s="11">
        <v>-36</v>
      </c>
      <c r="W1109" s="11">
        <v>-36</v>
      </c>
      <c r="X1109" s="11">
        <v>-30</v>
      </c>
      <c r="Y1109" s="11">
        <v>-18</v>
      </c>
      <c r="Z1109" s="11">
        <v>-43</v>
      </c>
      <c r="AA1109" s="11">
        <v>6.7</v>
      </c>
      <c r="AB1109" s="11">
        <v>149</v>
      </c>
      <c r="AC1109" s="11">
        <v>-8.5</v>
      </c>
      <c r="AD1109" s="11">
        <v>203</v>
      </c>
      <c r="AE1109" s="11">
        <v>-5.2</v>
      </c>
      <c r="AF1109" s="11">
        <v>217</v>
      </c>
      <c r="AG1109" s="11">
        <v>-4.3</v>
      </c>
      <c r="AH1109" s="11">
        <v>84</v>
      </c>
      <c r="AI1109" s="11">
        <v>78</v>
      </c>
      <c r="AJ1109" s="11">
        <v>176</v>
      </c>
      <c r="AK1109" s="11" t="s">
        <v>27</v>
      </c>
      <c r="AL1109" s="11">
        <v>5.4</v>
      </c>
      <c r="AM1109" s="10">
        <v>4</v>
      </c>
      <c r="AN1109" s="9">
        <v>277</v>
      </c>
      <c r="AO1109" s="8" t="s">
        <v>681</v>
      </c>
      <c r="AP1109" s="8">
        <v>995</v>
      </c>
      <c r="AQ1109" s="8">
        <v>24.6</v>
      </c>
      <c r="AR1109" s="8">
        <v>28.5</v>
      </c>
      <c r="AS1109" s="8">
        <v>25.9</v>
      </c>
      <c r="AT1109" s="8">
        <v>39</v>
      </c>
      <c r="AU1109" s="8">
        <v>12.8</v>
      </c>
      <c r="AV1109" s="8">
        <v>63</v>
      </c>
      <c r="AW1109" s="8">
        <v>49</v>
      </c>
      <c r="AX1109" s="8">
        <v>307</v>
      </c>
      <c r="AY1109" s="8">
        <v>72</v>
      </c>
      <c r="AZ1109" s="8" t="s">
        <v>43</v>
      </c>
      <c r="BA1109" s="7">
        <v>3.2</v>
      </c>
      <c r="BB1109" s="9">
        <v>248</v>
      </c>
      <c r="BC1109" s="8" t="s">
        <v>680</v>
      </c>
      <c r="BD1109" s="8">
        <v>2.2000000000000002</v>
      </c>
      <c r="BE1109" s="8">
        <v>2.2000000000000002</v>
      </c>
      <c r="BF1109" s="8">
        <v>3.6</v>
      </c>
      <c r="BG1109" s="8">
        <v>6.2</v>
      </c>
      <c r="BH1109" s="8">
        <v>8.5</v>
      </c>
      <c r="BI1109" s="8">
        <v>12.2</v>
      </c>
      <c r="BJ1109" s="8">
        <v>14.7</v>
      </c>
      <c r="BK1109" s="8">
        <v>13.1</v>
      </c>
      <c r="BL1109" s="8">
        <v>9.5</v>
      </c>
      <c r="BM1109" s="8">
        <v>6.3</v>
      </c>
      <c r="BN1109" s="8">
        <v>4.5</v>
      </c>
      <c r="BO1109" s="8">
        <v>3</v>
      </c>
      <c r="BP1109" s="7">
        <v>7.2</v>
      </c>
    </row>
    <row r="1110" spans="1:68" ht="14.25" customHeight="1">
      <c r="A1110" s="12">
        <v>453</v>
      </c>
      <c r="B1110" s="14">
        <v>597</v>
      </c>
      <c r="C1110" s="13" t="s">
        <v>117</v>
      </c>
      <c r="D1110" s="13" t="s">
        <v>679</v>
      </c>
      <c r="E1110" s="13" t="s">
        <v>677</v>
      </c>
      <c r="F1110" s="11">
        <v>0.5</v>
      </c>
      <c r="G1110" s="11">
        <v>2.8</v>
      </c>
      <c r="H1110" s="11">
        <v>7.4</v>
      </c>
      <c r="I1110" s="11">
        <v>14.2</v>
      </c>
      <c r="J1110" s="11">
        <v>19.3</v>
      </c>
      <c r="K1110" s="11">
        <v>23.9</v>
      </c>
      <c r="L1110" s="11">
        <v>25.9</v>
      </c>
      <c r="M1110" s="11">
        <v>24</v>
      </c>
      <c r="N1110" s="11">
        <v>19</v>
      </c>
      <c r="O1110" s="11">
        <v>12.7</v>
      </c>
      <c r="P1110" s="11">
        <v>6.6</v>
      </c>
      <c r="Q1110" s="11">
        <v>2.6</v>
      </c>
      <c r="R1110" s="10">
        <v>13.3</v>
      </c>
      <c r="S1110" s="12">
        <v>586</v>
      </c>
      <c r="T1110" s="8" t="s">
        <v>677</v>
      </c>
      <c r="U1110" s="11">
        <v>-18</v>
      </c>
      <c r="V1110" s="11">
        <v>-15</v>
      </c>
      <c r="W1110" s="11">
        <v>-14</v>
      </c>
      <c r="X1110" s="11" t="s">
        <v>499</v>
      </c>
      <c r="Y1110" s="11">
        <v>-3</v>
      </c>
      <c r="Z1110" s="11">
        <v>-25</v>
      </c>
      <c r="AA1110" s="11">
        <v>9.8000000000000007</v>
      </c>
      <c r="AB1110" s="11">
        <v>0</v>
      </c>
      <c r="AC1110" s="11" t="s">
        <v>50</v>
      </c>
      <c r="AD1110" s="11">
        <v>133</v>
      </c>
      <c r="AE1110" s="11">
        <v>3.3</v>
      </c>
      <c r="AF1110" s="11" t="s">
        <v>114</v>
      </c>
      <c r="AG1110" s="11" t="s">
        <v>44</v>
      </c>
      <c r="AH1110" s="11" t="s">
        <v>49</v>
      </c>
      <c r="AI1110" s="11" t="s">
        <v>49</v>
      </c>
      <c r="AJ1110" s="11" t="s">
        <v>84</v>
      </c>
      <c r="AK1110" s="11" t="s">
        <v>44</v>
      </c>
      <c r="AL1110" s="11">
        <v>2.7</v>
      </c>
      <c r="AM1110" s="10" t="s">
        <v>44</v>
      </c>
      <c r="AN1110" s="9">
        <v>587</v>
      </c>
      <c r="AO1110" s="8" t="s">
        <v>678</v>
      </c>
      <c r="AP1110" s="8">
        <v>930</v>
      </c>
      <c r="AQ1110" s="8">
        <v>31.7</v>
      </c>
      <c r="AR1110" s="8">
        <v>36</v>
      </c>
      <c r="AS1110" s="8">
        <v>33.700000000000003</v>
      </c>
      <c r="AT1110" s="8">
        <v>42</v>
      </c>
      <c r="AU1110" s="8">
        <v>16.5</v>
      </c>
      <c r="AV1110" s="8" t="s">
        <v>45</v>
      </c>
      <c r="AW1110" s="8" t="s">
        <v>44</v>
      </c>
      <c r="AX1110" s="8" t="s">
        <v>44</v>
      </c>
      <c r="AY1110" s="8" t="s">
        <v>64</v>
      </c>
      <c r="AZ1110" s="8" t="s">
        <v>114</v>
      </c>
      <c r="BA1110" s="7">
        <v>0</v>
      </c>
      <c r="BB1110" s="9"/>
      <c r="BC1110" s="8" t="s">
        <v>677</v>
      </c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7"/>
    </row>
    <row r="1111" spans="1:68" ht="14.25" customHeight="1">
      <c r="A1111" s="12">
        <v>454</v>
      </c>
      <c r="B1111" s="14">
        <v>486</v>
      </c>
      <c r="C1111" s="13" t="s">
        <v>105</v>
      </c>
      <c r="D1111" s="13" t="s">
        <v>105</v>
      </c>
      <c r="E1111" s="13" t="s">
        <v>676</v>
      </c>
      <c r="F1111" s="11">
        <v>5.0999999999999996</v>
      </c>
      <c r="G1111" s="11">
        <v>6.2</v>
      </c>
      <c r="H1111" s="11">
        <v>9.1</v>
      </c>
      <c r="I1111" s="11">
        <v>13.7</v>
      </c>
      <c r="J1111" s="11">
        <v>17.7</v>
      </c>
      <c r="K1111" s="11">
        <v>21</v>
      </c>
      <c r="L1111" s="11">
        <v>23</v>
      </c>
      <c r="M1111" s="11">
        <v>23</v>
      </c>
      <c r="N1111" s="11">
        <v>21.1</v>
      </c>
      <c r="O1111" s="11">
        <v>15.5</v>
      </c>
      <c r="P1111" s="11">
        <v>11.1</v>
      </c>
      <c r="Q1111" s="11">
        <v>7.1</v>
      </c>
      <c r="R1111" s="10">
        <v>14.5</v>
      </c>
      <c r="S1111" s="12">
        <v>486</v>
      </c>
      <c r="T1111" s="8" t="s">
        <v>674</v>
      </c>
      <c r="U1111" s="11">
        <v>-9</v>
      </c>
      <c r="V1111" s="11">
        <v>-7</v>
      </c>
      <c r="W1111" s="11">
        <v>-5</v>
      </c>
      <c r="X1111" s="11">
        <v>-3</v>
      </c>
      <c r="Y1111" s="11">
        <v>2</v>
      </c>
      <c r="Z1111" s="11">
        <v>-17</v>
      </c>
      <c r="AA1111" s="11">
        <v>6.9</v>
      </c>
      <c r="AB1111" s="11">
        <v>0</v>
      </c>
      <c r="AC1111" s="11" t="s">
        <v>50</v>
      </c>
      <c r="AD1111" s="11">
        <v>87</v>
      </c>
      <c r="AE1111" s="11">
        <v>6.3</v>
      </c>
      <c r="AF1111" s="11">
        <v>119</v>
      </c>
      <c r="AG1111" s="11">
        <v>6.8</v>
      </c>
      <c r="AH1111" s="11" t="s">
        <v>49</v>
      </c>
      <c r="AI1111" s="11" t="s">
        <v>49</v>
      </c>
      <c r="AJ1111" s="11">
        <v>624</v>
      </c>
      <c r="AK1111" s="11" t="s">
        <v>66</v>
      </c>
      <c r="AL1111" s="11" t="s">
        <v>44</v>
      </c>
      <c r="AM1111" s="10">
        <v>5.3</v>
      </c>
      <c r="AN1111" s="9">
        <v>486</v>
      </c>
      <c r="AO1111" s="8" t="s">
        <v>675</v>
      </c>
      <c r="AP1111" s="8" t="s">
        <v>64</v>
      </c>
      <c r="AQ1111" s="8">
        <v>26</v>
      </c>
      <c r="AR1111" s="8">
        <v>33</v>
      </c>
      <c r="AS1111" s="8">
        <v>30.4</v>
      </c>
      <c r="AT1111" s="8">
        <v>41</v>
      </c>
      <c r="AU1111" s="8">
        <v>9.6999999999999993</v>
      </c>
      <c r="AV1111" s="8">
        <v>80</v>
      </c>
      <c r="AW1111" s="8" t="s">
        <v>44</v>
      </c>
      <c r="AX1111" s="8" t="s">
        <v>44</v>
      </c>
      <c r="AY1111" s="8">
        <v>164</v>
      </c>
      <c r="AZ1111" s="8" t="s">
        <v>43</v>
      </c>
      <c r="BA1111" s="7">
        <v>0.9</v>
      </c>
      <c r="BB1111" s="9"/>
      <c r="BC1111" s="8" t="s">
        <v>674</v>
      </c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7"/>
    </row>
    <row r="1112" spans="1:68" ht="14.25" customHeight="1">
      <c r="A1112" s="12">
        <v>455</v>
      </c>
      <c r="B1112" s="14">
        <v>430</v>
      </c>
      <c r="C1112" s="13" t="s">
        <v>30</v>
      </c>
      <c r="D1112" s="13" t="s">
        <v>57</v>
      </c>
      <c r="E1112" s="13" t="s">
        <v>672</v>
      </c>
      <c r="F1112" s="11">
        <v>-39.1</v>
      </c>
      <c r="G1112" s="11">
        <v>-34.5</v>
      </c>
      <c r="H1112" s="11">
        <v>-21.6</v>
      </c>
      <c r="I1112" s="11">
        <v>-8.5</v>
      </c>
      <c r="J1112" s="11">
        <v>4.0999999999999996</v>
      </c>
      <c r="K1112" s="11">
        <v>14.3</v>
      </c>
      <c r="L1112" s="11">
        <v>18.100000000000001</v>
      </c>
      <c r="M1112" s="11">
        <v>14.5</v>
      </c>
      <c r="N1112" s="11">
        <v>6</v>
      </c>
      <c r="O1112" s="11">
        <v>-8.6999999999999993</v>
      </c>
      <c r="P1112" s="11">
        <v>-28.5</v>
      </c>
      <c r="Q1112" s="11">
        <v>-37.299999999999997</v>
      </c>
      <c r="R1112" s="10">
        <v>-10.1</v>
      </c>
      <c r="S1112" s="12">
        <v>430</v>
      </c>
      <c r="T1112" s="8" t="s">
        <v>672</v>
      </c>
      <c r="U1112" s="11">
        <v>-53</v>
      </c>
      <c r="V1112" s="11">
        <v>-52</v>
      </c>
      <c r="W1112" s="11">
        <v>-51</v>
      </c>
      <c r="X1112" s="11">
        <v>-50</v>
      </c>
      <c r="Y1112" s="11">
        <v>-44</v>
      </c>
      <c r="Z1112" s="11">
        <v>-61</v>
      </c>
      <c r="AA1112" s="11">
        <v>6.4</v>
      </c>
      <c r="AB1112" s="11">
        <v>220</v>
      </c>
      <c r="AC1112" s="11">
        <v>-24</v>
      </c>
      <c r="AD1112" s="11">
        <v>261</v>
      </c>
      <c r="AE1112" s="11">
        <v>-19.600000000000001</v>
      </c>
      <c r="AF1112" s="11">
        <v>274</v>
      </c>
      <c r="AG1112" s="11">
        <v>-18.2</v>
      </c>
      <c r="AH1112" s="11">
        <v>70</v>
      </c>
      <c r="AI1112" s="11">
        <v>70</v>
      </c>
      <c r="AJ1112" s="11">
        <v>58</v>
      </c>
      <c r="AK1112" s="11" t="s">
        <v>66</v>
      </c>
      <c r="AL1112" s="11">
        <v>7.6</v>
      </c>
      <c r="AM1112" s="10">
        <v>3.6</v>
      </c>
      <c r="AN1112" s="9">
        <v>430</v>
      </c>
      <c r="AO1112" s="8" t="s">
        <v>673</v>
      </c>
      <c r="AP1112" s="8">
        <v>995</v>
      </c>
      <c r="AQ1112" s="8">
        <v>21</v>
      </c>
      <c r="AR1112" s="8">
        <v>25.2</v>
      </c>
      <c r="AS1112" s="8">
        <v>23.4</v>
      </c>
      <c r="AT1112" s="8">
        <v>35</v>
      </c>
      <c r="AU1112" s="8">
        <v>10.8</v>
      </c>
      <c r="AV1112" s="8">
        <v>64</v>
      </c>
      <c r="AW1112" s="8">
        <v>55</v>
      </c>
      <c r="AX1112" s="8">
        <v>261</v>
      </c>
      <c r="AY1112" s="8">
        <v>58</v>
      </c>
      <c r="AZ1112" s="8" t="s">
        <v>54</v>
      </c>
      <c r="BA1112" s="7">
        <v>0</v>
      </c>
      <c r="BB1112" s="9">
        <v>393</v>
      </c>
      <c r="BC1112" s="8" t="s">
        <v>672</v>
      </c>
      <c r="BD1112" s="8">
        <v>0.2</v>
      </c>
      <c r="BE1112" s="8">
        <v>0.3</v>
      </c>
      <c r="BF1112" s="8">
        <v>0.9</v>
      </c>
      <c r="BG1112" s="8">
        <v>2.2999999999999998</v>
      </c>
      <c r="BH1112" s="8">
        <v>4.8</v>
      </c>
      <c r="BI1112" s="8">
        <v>9.6</v>
      </c>
      <c r="BJ1112" s="8">
        <v>13</v>
      </c>
      <c r="BK1112" s="8">
        <v>11.8</v>
      </c>
      <c r="BL1112" s="8">
        <v>6.8</v>
      </c>
      <c r="BM1112" s="8">
        <v>2.9</v>
      </c>
      <c r="BN1112" s="8">
        <v>0.6</v>
      </c>
      <c r="BO1112" s="8">
        <v>0.2</v>
      </c>
      <c r="BP1112" s="7">
        <v>4.5</v>
      </c>
    </row>
    <row r="1113" spans="1:68" ht="14.25" customHeight="1">
      <c r="A1113" s="12">
        <v>456</v>
      </c>
      <c r="B1113" s="14">
        <v>200</v>
      </c>
      <c r="C1113" s="13" t="s">
        <v>30</v>
      </c>
      <c r="D1113" s="13" t="s">
        <v>449</v>
      </c>
      <c r="E1113" s="13" t="s">
        <v>669</v>
      </c>
      <c r="F1113" s="11">
        <v>-7.8</v>
      </c>
      <c r="G1113" s="11">
        <v>-7.8</v>
      </c>
      <c r="H1113" s="11">
        <v>-3.9</v>
      </c>
      <c r="I1113" s="11">
        <v>3.1</v>
      </c>
      <c r="J1113" s="11">
        <v>9.8000000000000007</v>
      </c>
      <c r="K1113" s="11">
        <v>15</v>
      </c>
      <c r="L1113" s="11">
        <v>17.8</v>
      </c>
      <c r="M1113" s="11">
        <v>16</v>
      </c>
      <c r="N1113" s="11">
        <v>10.9</v>
      </c>
      <c r="O1113" s="11">
        <v>4.9000000000000004</v>
      </c>
      <c r="P1113" s="11">
        <v>-0.3</v>
      </c>
      <c r="Q1113" s="11">
        <v>-5</v>
      </c>
      <c r="R1113" s="10">
        <v>4.4000000000000004</v>
      </c>
      <c r="S1113" s="12">
        <v>200</v>
      </c>
      <c r="T1113" s="8" t="s">
        <v>671</v>
      </c>
      <c r="U1113" s="11">
        <v>-33</v>
      </c>
      <c r="V1113" s="11">
        <v>-30</v>
      </c>
      <c r="W1113" s="11">
        <v>-30</v>
      </c>
      <c r="X1113" s="11">
        <v>-26</v>
      </c>
      <c r="Y1113" s="11">
        <v>-13</v>
      </c>
      <c r="Z1113" s="11">
        <v>-36</v>
      </c>
      <c r="AA1113" s="11">
        <v>5.6</v>
      </c>
      <c r="AB1113" s="11">
        <v>139</v>
      </c>
      <c r="AC1113" s="11">
        <v>-5.0999999999999996</v>
      </c>
      <c r="AD1113" s="11">
        <v>220</v>
      </c>
      <c r="AE1113" s="11">
        <v>-1.8</v>
      </c>
      <c r="AF1113" s="11">
        <v>239</v>
      </c>
      <c r="AG1113" s="11">
        <v>-0.9</v>
      </c>
      <c r="AH1113" s="11">
        <v>86</v>
      </c>
      <c r="AI1113" s="11">
        <v>83</v>
      </c>
      <c r="AJ1113" s="11">
        <v>200</v>
      </c>
      <c r="AK1113" s="11" t="s">
        <v>39</v>
      </c>
      <c r="AL1113" s="11">
        <v>4.2</v>
      </c>
      <c r="AM1113" s="10">
        <v>2.8</v>
      </c>
      <c r="AN1113" s="9">
        <v>199</v>
      </c>
      <c r="AO1113" s="8" t="s">
        <v>670</v>
      </c>
      <c r="AP1113" s="8">
        <v>1010</v>
      </c>
      <c r="AQ1113" s="8">
        <v>20.5</v>
      </c>
      <c r="AR1113" s="8">
        <v>24.6</v>
      </c>
      <c r="AS1113" s="8">
        <v>22</v>
      </c>
      <c r="AT1113" s="8">
        <v>34</v>
      </c>
      <c r="AU1113" s="8">
        <v>8.1999999999999993</v>
      </c>
      <c r="AV1113" s="8">
        <v>72</v>
      </c>
      <c r="AW1113" s="8">
        <v>60</v>
      </c>
      <c r="AX1113" s="8">
        <v>420</v>
      </c>
      <c r="AY1113" s="8">
        <v>76</v>
      </c>
      <c r="AZ1113" s="8" t="s">
        <v>43</v>
      </c>
      <c r="BA1113" s="7">
        <v>0</v>
      </c>
      <c r="BB1113" s="9">
        <v>175</v>
      </c>
      <c r="BC1113" s="8" t="s">
        <v>669</v>
      </c>
      <c r="BD1113" s="8">
        <v>3.3</v>
      </c>
      <c r="BE1113" s="8">
        <v>3.2</v>
      </c>
      <c r="BF1113" s="8">
        <v>3.9</v>
      </c>
      <c r="BG1113" s="8">
        <v>5.7</v>
      </c>
      <c r="BH1113" s="8">
        <v>8</v>
      </c>
      <c r="BI1113" s="8">
        <v>11.8</v>
      </c>
      <c r="BJ1113" s="8">
        <v>14.6</v>
      </c>
      <c r="BK1113" s="8">
        <v>14.3</v>
      </c>
      <c r="BL1113" s="8">
        <v>10.9</v>
      </c>
      <c r="BM1113" s="8">
        <v>7.6</v>
      </c>
      <c r="BN1113" s="8">
        <v>5.5</v>
      </c>
      <c r="BO1113" s="8">
        <v>4.2</v>
      </c>
      <c r="BP1113" s="7">
        <v>7.8</v>
      </c>
    </row>
    <row r="1114" spans="1:68" ht="14.25" customHeight="1">
      <c r="A1114" s="12">
        <v>457</v>
      </c>
      <c r="B1114" s="14">
        <v>209</v>
      </c>
      <c r="C1114" s="13" t="s">
        <v>30</v>
      </c>
      <c r="D1114" s="13" t="s">
        <v>668</v>
      </c>
      <c r="E1114" s="13" t="s">
        <v>665</v>
      </c>
      <c r="F1114" s="11">
        <v>-12.3</v>
      </c>
      <c r="G1114" s="11">
        <v>-11.7</v>
      </c>
      <c r="H1114" s="11">
        <v>-5.9</v>
      </c>
      <c r="I1114" s="11">
        <v>4.8</v>
      </c>
      <c r="J1114" s="11">
        <v>13.1</v>
      </c>
      <c r="K1114" s="11">
        <v>17.3</v>
      </c>
      <c r="L1114" s="11">
        <v>19.2</v>
      </c>
      <c r="M1114" s="11">
        <v>17.7</v>
      </c>
      <c r="N1114" s="11">
        <v>11.6</v>
      </c>
      <c r="O1114" s="11">
        <v>4.0999999999999996</v>
      </c>
      <c r="P1114" s="11">
        <v>-3</v>
      </c>
      <c r="Q1114" s="11">
        <v>-8.6999999999999993</v>
      </c>
      <c r="R1114" s="10">
        <v>3.9</v>
      </c>
      <c r="S1114" s="12">
        <v>209</v>
      </c>
      <c r="T1114" s="8" t="s">
        <v>667</v>
      </c>
      <c r="U1114" s="11">
        <v>-38</v>
      </c>
      <c r="V1114" s="11">
        <v>-34</v>
      </c>
      <c r="W1114" s="11">
        <v>-34</v>
      </c>
      <c r="X1114" s="11">
        <v>-30</v>
      </c>
      <c r="Y1114" s="11">
        <v>-17</v>
      </c>
      <c r="Z1114" s="11">
        <v>-44</v>
      </c>
      <c r="AA1114" s="11">
        <v>6.7</v>
      </c>
      <c r="AB1114" s="11">
        <v>150</v>
      </c>
      <c r="AC1114" s="11">
        <v>-7.9</v>
      </c>
      <c r="AD1114" s="11">
        <v>209</v>
      </c>
      <c r="AE1114" s="11">
        <v>-4.5</v>
      </c>
      <c r="AF1114" s="11">
        <v>225</v>
      </c>
      <c r="AG1114" s="11">
        <v>-3.6</v>
      </c>
      <c r="AH1114" s="11">
        <v>83</v>
      </c>
      <c r="AI1114" s="11">
        <v>83</v>
      </c>
      <c r="AJ1114" s="11">
        <v>155</v>
      </c>
      <c r="AK1114" s="11" t="s">
        <v>34</v>
      </c>
      <c r="AL1114" s="11">
        <v>6.9</v>
      </c>
      <c r="AM1114" s="10">
        <v>5.8</v>
      </c>
      <c r="AN1114" s="9">
        <v>209</v>
      </c>
      <c r="AO1114" s="8" t="s">
        <v>666</v>
      </c>
      <c r="AP1114" s="8">
        <v>990</v>
      </c>
      <c r="AQ1114" s="8">
        <v>22.5</v>
      </c>
      <c r="AR1114" s="8">
        <v>26.6</v>
      </c>
      <c r="AS1114" s="8">
        <v>24.9</v>
      </c>
      <c r="AT1114" s="8">
        <v>39</v>
      </c>
      <c r="AU1114" s="8">
        <v>11.5</v>
      </c>
      <c r="AV1114" s="8">
        <v>69</v>
      </c>
      <c r="AW1114" s="8">
        <v>51</v>
      </c>
      <c r="AX1114" s="8">
        <v>361</v>
      </c>
      <c r="AY1114" s="8">
        <v>128</v>
      </c>
      <c r="AZ1114" s="8" t="s">
        <v>32</v>
      </c>
      <c r="BA1114" s="7">
        <v>0</v>
      </c>
      <c r="BB1114" s="9">
        <v>184</v>
      </c>
      <c r="BC1114" s="8" t="s">
        <v>665</v>
      </c>
      <c r="BD1114" s="8">
        <v>2.5</v>
      </c>
      <c r="BE1114" s="8">
        <v>2.5</v>
      </c>
      <c r="BF1114" s="8">
        <v>3.7</v>
      </c>
      <c r="BG1114" s="8">
        <v>6.6</v>
      </c>
      <c r="BH1114" s="8">
        <v>9</v>
      </c>
      <c r="BI1114" s="8">
        <v>12.5</v>
      </c>
      <c r="BJ1114" s="8">
        <v>15.1</v>
      </c>
      <c r="BK1114" s="8">
        <v>13.8</v>
      </c>
      <c r="BL1114" s="8">
        <v>10.1</v>
      </c>
      <c r="BM1114" s="8">
        <v>6.8</v>
      </c>
      <c r="BN1114" s="8">
        <v>4.7</v>
      </c>
      <c r="BO1114" s="8">
        <v>3.3</v>
      </c>
      <c r="BP1114" s="7">
        <v>7.6</v>
      </c>
    </row>
    <row r="1115" spans="1:68" ht="14.25" customHeight="1">
      <c r="A1115" s="12">
        <v>458</v>
      </c>
      <c r="B1115" s="14">
        <v>342</v>
      </c>
      <c r="C1115" s="13" t="s">
        <v>30</v>
      </c>
      <c r="D1115" s="13" t="s">
        <v>664</v>
      </c>
      <c r="E1115" s="13" t="s">
        <v>661</v>
      </c>
      <c r="F1115" s="11">
        <v>-14.3</v>
      </c>
      <c r="G1115" s="11">
        <v>-13.5</v>
      </c>
      <c r="H1115" s="11">
        <v>-7.3</v>
      </c>
      <c r="I1115" s="11">
        <v>3</v>
      </c>
      <c r="J1115" s="11">
        <v>11.5</v>
      </c>
      <c r="K1115" s="11">
        <v>17.100000000000001</v>
      </c>
      <c r="L1115" s="11">
        <v>18.899999999999999</v>
      </c>
      <c r="M1115" s="11">
        <v>16.8</v>
      </c>
      <c r="N1115" s="11">
        <v>10.4</v>
      </c>
      <c r="O1115" s="11">
        <v>2.7</v>
      </c>
      <c r="P1115" s="11">
        <v>-5.5</v>
      </c>
      <c r="Q1115" s="11">
        <v>-12.2</v>
      </c>
      <c r="R1115" s="10">
        <v>2.2999999999999998</v>
      </c>
      <c r="S1115" s="12">
        <v>342</v>
      </c>
      <c r="T1115" s="8" t="s">
        <v>663</v>
      </c>
      <c r="U1115" s="11">
        <v>-41</v>
      </c>
      <c r="V1115" s="11">
        <v>-38</v>
      </c>
      <c r="W1115" s="11">
        <v>-38</v>
      </c>
      <c r="X1115" s="11">
        <v>-34</v>
      </c>
      <c r="Y1115" s="11">
        <v>-19</v>
      </c>
      <c r="Z1115" s="11">
        <v>-48</v>
      </c>
      <c r="AA1115" s="11">
        <v>6.5</v>
      </c>
      <c r="AB1115" s="11">
        <v>163</v>
      </c>
      <c r="AC1115" s="11">
        <v>-9.4</v>
      </c>
      <c r="AD1115" s="11">
        <v>220</v>
      </c>
      <c r="AE1115" s="11">
        <v>-5.9</v>
      </c>
      <c r="AF1115" s="11">
        <v>236</v>
      </c>
      <c r="AG1115" s="11">
        <v>-4.9000000000000004</v>
      </c>
      <c r="AH1115" s="11">
        <v>84</v>
      </c>
      <c r="AI1115" s="11">
        <v>81</v>
      </c>
      <c r="AJ1115" s="11">
        <v>228</v>
      </c>
      <c r="AK1115" s="11" t="s">
        <v>39</v>
      </c>
      <c r="AL1115" s="11" t="s">
        <v>44</v>
      </c>
      <c r="AM1115" s="10">
        <v>3.5</v>
      </c>
      <c r="AN1115" s="9">
        <v>342</v>
      </c>
      <c r="AO1115" s="8" t="s">
        <v>662</v>
      </c>
      <c r="AP1115" s="8">
        <v>995</v>
      </c>
      <c r="AQ1115" s="8">
        <v>22.2</v>
      </c>
      <c r="AR1115" s="8">
        <v>26.4</v>
      </c>
      <c r="AS1115" s="8">
        <v>24.6</v>
      </c>
      <c r="AT1115" s="8">
        <v>38</v>
      </c>
      <c r="AU1115" s="8">
        <v>11</v>
      </c>
      <c r="AV1115" s="8">
        <v>67</v>
      </c>
      <c r="AW1115" s="8">
        <v>53</v>
      </c>
      <c r="AX1115" s="8">
        <v>371</v>
      </c>
      <c r="AY1115" s="8">
        <v>73</v>
      </c>
      <c r="AZ1115" s="8" t="s">
        <v>54</v>
      </c>
      <c r="BA1115" s="7" t="s">
        <v>46</v>
      </c>
      <c r="BB1115" s="9"/>
      <c r="BC1115" s="8" t="s">
        <v>661</v>
      </c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7"/>
    </row>
    <row r="1116" spans="1:68" ht="14.25" customHeight="1">
      <c r="A1116" s="12">
        <v>459</v>
      </c>
      <c r="B1116" s="14">
        <v>631</v>
      </c>
      <c r="C1116" s="13" t="s">
        <v>52</v>
      </c>
      <c r="D1116" s="13" t="s">
        <v>660</v>
      </c>
      <c r="E1116" s="13" t="s">
        <v>658</v>
      </c>
      <c r="F1116" s="11">
        <v>-2</v>
      </c>
      <c r="G1116" s="11">
        <v>-0.8</v>
      </c>
      <c r="H1116" s="11">
        <v>3.3</v>
      </c>
      <c r="I1116" s="11">
        <v>9.9</v>
      </c>
      <c r="J1116" s="11">
        <v>15.9</v>
      </c>
      <c r="K1116" s="11">
        <v>19.8</v>
      </c>
      <c r="L1116" s="11">
        <v>21.6</v>
      </c>
      <c r="M1116" s="11">
        <v>21.2</v>
      </c>
      <c r="N1116" s="11">
        <v>16.399999999999999</v>
      </c>
      <c r="O1116" s="11">
        <v>10.4</v>
      </c>
      <c r="P1116" s="11">
        <v>5.2</v>
      </c>
      <c r="Q1116" s="11">
        <v>0.6</v>
      </c>
      <c r="R1116" s="10">
        <v>10.1</v>
      </c>
      <c r="S1116" s="12">
        <v>620</v>
      </c>
      <c r="T1116" s="8" t="s">
        <v>658</v>
      </c>
      <c r="U1116" s="11">
        <v>-26</v>
      </c>
      <c r="V1116" s="11">
        <v>-23</v>
      </c>
      <c r="W1116" s="11">
        <v>-22</v>
      </c>
      <c r="X1116" s="11">
        <v>-20</v>
      </c>
      <c r="Y1116" s="11">
        <v>-7</v>
      </c>
      <c r="Z1116" s="11">
        <v>-30</v>
      </c>
      <c r="AA1116" s="11" t="s">
        <v>49</v>
      </c>
      <c r="AB1116" s="11">
        <v>64</v>
      </c>
      <c r="AC1116" s="11">
        <v>-1.5</v>
      </c>
      <c r="AD1116" s="11">
        <v>157</v>
      </c>
      <c r="AE1116" s="11">
        <v>1.6</v>
      </c>
      <c r="AF1116" s="11">
        <v>177</v>
      </c>
      <c r="AG1116" s="11">
        <v>2.4</v>
      </c>
      <c r="AH1116" s="11" t="s">
        <v>49</v>
      </c>
      <c r="AI1116" s="11" t="s">
        <v>49</v>
      </c>
      <c r="AJ1116" s="11">
        <v>163</v>
      </c>
      <c r="AK1116" s="11" t="s">
        <v>56</v>
      </c>
      <c r="AL1116" s="11" t="s">
        <v>44</v>
      </c>
      <c r="AM1116" s="10" t="s">
        <v>44</v>
      </c>
      <c r="AN1116" s="9">
        <v>621</v>
      </c>
      <c r="AO1116" s="8" t="s">
        <v>659</v>
      </c>
      <c r="AP1116" s="8" t="s">
        <v>64</v>
      </c>
      <c r="AQ1116" s="8">
        <v>31</v>
      </c>
      <c r="AR1116" s="8">
        <v>27</v>
      </c>
      <c r="AS1116" s="8">
        <v>27.7</v>
      </c>
      <c r="AT1116" s="8">
        <v>41</v>
      </c>
      <c r="AU1116" s="8" t="s">
        <v>46</v>
      </c>
      <c r="AV1116" s="8" t="s">
        <v>45</v>
      </c>
      <c r="AW1116" s="8" t="s">
        <v>44</v>
      </c>
      <c r="AX1116" s="8" t="s">
        <v>44</v>
      </c>
      <c r="AY1116" s="8">
        <v>100</v>
      </c>
      <c r="AZ1116" s="8" t="s">
        <v>32</v>
      </c>
      <c r="BA1116" s="7">
        <v>1.5</v>
      </c>
      <c r="BB1116" s="9"/>
      <c r="BC1116" s="8" t="s">
        <v>658</v>
      </c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7"/>
    </row>
    <row r="1117" spans="1:68" ht="14.25" customHeight="1">
      <c r="A1117" s="12">
        <v>460</v>
      </c>
      <c r="B1117" s="14">
        <v>286</v>
      </c>
      <c r="C1117" s="13" t="s">
        <v>30</v>
      </c>
      <c r="D1117" s="13" t="s">
        <v>657</v>
      </c>
      <c r="E1117" s="13" t="s">
        <v>654</v>
      </c>
      <c r="F1117" s="11">
        <v>-11</v>
      </c>
      <c r="G1117" s="11">
        <v>-11.4</v>
      </c>
      <c r="H1117" s="11">
        <v>-4.8</v>
      </c>
      <c r="I1117" s="11">
        <v>6.6</v>
      </c>
      <c r="J1117" s="11">
        <v>15</v>
      </c>
      <c r="K1117" s="11">
        <v>19.399999999999999</v>
      </c>
      <c r="L1117" s="11">
        <v>21.4</v>
      </c>
      <c r="M1117" s="11">
        <v>19.899999999999999</v>
      </c>
      <c r="N1117" s="11">
        <v>14</v>
      </c>
      <c r="O1117" s="11">
        <v>5.4</v>
      </c>
      <c r="P1117" s="11">
        <v>-2</v>
      </c>
      <c r="Q1117" s="11">
        <v>-8.3000000000000007</v>
      </c>
      <c r="R1117" s="10">
        <v>5.3</v>
      </c>
      <c r="S1117" s="12">
        <v>286</v>
      </c>
      <c r="T1117" s="8" t="s">
        <v>656</v>
      </c>
      <c r="U1117" s="11">
        <v>-34</v>
      </c>
      <c r="V1117" s="11">
        <v>-33</v>
      </c>
      <c r="W1117" s="11">
        <v>-30</v>
      </c>
      <c r="X1117" s="11">
        <v>-27</v>
      </c>
      <c r="Y1117" s="11">
        <v>-16</v>
      </c>
      <c r="Z1117" s="11">
        <v>-37</v>
      </c>
      <c r="AA1117" s="11">
        <v>6.9</v>
      </c>
      <c r="AB1117" s="11">
        <v>142</v>
      </c>
      <c r="AC1117" s="11">
        <v>-7.5</v>
      </c>
      <c r="AD1117" s="11">
        <v>196</v>
      </c>
      <c r="AE1117" s="11">
        <v>-4.3</v>
      </c>
      <c r="AF1117" s="11">
        <v>210</v>
      </c>
      <c r="AG1117" s="11">
        <v>-3.4</v>
      </c>
      <c r="AH1117" s="11">
        <v>82</v>
      </c>
      <c r="AI1117" s="11">
        <v>82</v>
      </c>
      <c r="AJ1117" s="11">
        <v>159</v>
      </c>
      <c r="AK1117" s="11" t="s">
        <v>75</v>
      </c>
      <c r="AL1117" s="11">
        <v>5.6</v>
      </c>
      <c r="AM1117" s="10">
        <v>4.4000000000000004</v>
      </c>
      <c r="AN1117" s="9">
        <v>280</v>
      </c>
      <c r="AO1117" s="8" t="s">
        <v>655</v>
      </c>
      <c r="AP1117" s="8">
        <v>1005</v>
      </c>
      <c r="AQ1117" s="8">
        <v>25.1</v>
      </c>
      <c r="AR1117" s="8">
        <v>29.1</v>
      </c>
      <c r="AS1117" s="8">
        <v>27.5</v>
      </c>
      <c r="AT1117" s="8">
        <v>41</v>
      </c>
      <c r="AU1117" s="8">
        <v>11.5</v>
      </c>
      <c r="AV1117" s="8">
        <v>56</v>
      </c>
      <c r="AW1117" s="8">
        <v>41</v>
      </c>
      <c r="AX1117" s="8">
        <v>292</v>
      </c>
      <c r="AY1117" s="8">
        <v>65</v>
      </c>
      <c r="AZ1117" s="8" t="s">
        <v>54</v>
      </c>
      <c r="BA1117" s="7">
        <v>4.3</v>
      </c>
      <c r="BB1117" s="9">
        <v>251</v>
      </c>
      <c r="BC1117" s="8" t="s">
        <v>654</v>
      </c>
      <c r="BD1117" s="8">
        <v>2.6</v>
      </c>
      <c r="BE1117" s="8">
        <v>2.7</v>
      </c>
      <c r="BF1117" s="8">
        <v>4</v>
      </c>
      <c r="BG1117" s="8">
        <v>6.6</v>
      </c>
      <c r="BH1117" s="8">
        <v>9.1</v>
      </c>
      <c r="BI1117" s="8">
        <v>12.2</v>
      </c>
      <c r="BJ1117" s="8">
        <v>13.9</v>
      </c>
      <c r="BK1117" s="8">
        <v>13.2</v>
      </c>
      <c r="BL1117" s="8">
        <v>9.6999999999999993</v>
      </c>
      <c r="BM1117" s="8">
        <v>6.7</v>
      </c>
      <c r="BN1117" s="8">
        <v>4.7</v>
      </c>
      <c r="BO1117" s="8">
        <v>3.6</v>
      </c>
      <c r="BP1117" s="7">
        <v>7.4</v>
      </c>
    </row>
    <row r="1118" spans="1:68" ht="14.25" customHeight="1">
      <c r="A1118" s="12">
        <v>461</v>
      </c>
      <c r="B1118" s="14">
        <v>635</v>
      </c>
      <c r="C1118" s="13" t="s">
        <v>52</v>
      </c>
      <c r="D1118" s="13" t="s">
        <v>653</v>
      </c>
      <c r="E1118" s="13" t="s">
        <v>650</v>
      </c>
      <c r="F1118" s="11">
        <v>-5.4</v>
      </c>
      <c r="G1118" s="11">
        <v>-4</v>
      </c>
      <c r="H1118" s="11">
        <v>0.6</v>
      </c>
      <c r="I1118" s="11">
        <v>8</v>
      </c>
      <c r="J1118" s="11">
        <v>14.1</v>
      </c>
      <c r="K1118" s="11">
        <v>17</v>
      </c>
      <c r="L1118" s="11">
        <v>18.2</v>
      </c>
      <c r="M1118" s="11">
        <v>17.399999999999999</v>
      </c>
      <c r="N1118" s="11">
        <v>13.1</v>
      </c>
      <c r="O1118" s="11">
        <v>7.7</v>
      </c>
      <c r="P1118" s="11">
        <v>2.2999999999999998</v>
      </c>
      <c r="Q1118" s="11">
        <v>-2.2000000000000002</v>
      </c>
      <c r="R1118" s="10">
        <v>7.2</v>
      </c>
      <c r="S1118" s="12">
        <v>624</v>
      </c>
      <c r="T1118" s="8" t="s">
        <v>650</v>
      </c>
      <c r="U1118" s="11">
        <v>-27</v>
      </c>
      <c r="V1118" s="11">
        <v>-25</v>
      </c>
      <c r="W1118" s="11">
        <v>-23</v>
      </c>
      <c r="X1118" s="11">
        <v>-21</v>
      </c>
      <c r="Y1118" s="11">
        <v>-10</v>
      </c>
      <c r="Z1118" s="11">
        <v>-35</v>
      </c>
      <c r="AA1118" s="11" t="s">
        <v>652</v>
      </c>
      <c r="AB1118" s="11">
        <v>102</v>
      </c>
      <c r="AC1118" s="11">
        <v>-3.5</v>
      </c>
      <c r="AD1118" s="11">
        <v>180</v>
      </c>
      <c r="AE1118" s="11">
        <v>-0.4</v>
      </c>
      <c r="AF1118" s="11">
        <v>199</v>
      </c>
      <c r="AG1118" s="11">
        <v>0.5</v>
      </c>
      <c r="AH1118" s="11" t="s">
        <v>49</v>
      </c>
      <c r="AI1118" s="11" t="s">
        <v>49</v>
      </c>
      <c r="AJ1118" s="11">
        <v>182</v>
      </c>
      <c r="AK1118" s="11" t="s">
        <v>34</v>
      </c>
      <c r="AL1118" s="11" t="s">
        <v>44</v>
      </c>
      <c r="AM1118" s="10" t="s">
        <v>44</v>
      </c>
      <c r="AN1118" s="9">
        <v>625</v>
      </c>
      <c r="AO1118" s="8" t="s">
        <v>651</v>
      </c>
      <c r="AP1118" s="8">
        <v>1000</v>
      </c>
      <c r="AQ1118" s="8">
        <v>26</v>
      </c>
      <c r="AR1118" s="8">
        <v>23</v>
      </c>
      <c r="AS1118" s="8">
        <v>24</v>
      </c>
      <c r="AT1118" s="8">
        <v>38</v>
      </c>
      <c r="AU1118" s="8" t="s">
        <v>46</v>
      </c>
      <c r="AV1118" s="8" t="s">
        <v>45</v>
      </c>
      <c r="AW1118" s="8" t="s">
        <v>44</v>
      </c>
      <c r="AX1118" s="8" t="s">
        <v>44</v>
      </c>
      <c r="AY1118" s="8">
        <v>106</v>
      </c>
      <c r="AZ1118" s="8" t="s">
        <v>43</v>
      </c>
      <c r="BA1118" s="7">
        <v>1.1000000000000001</v>
      </c>
      <c r="BB1118" s="9"/>
      <c r="BC1118" s="8" t="s">
        <v>650</v>
      </c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7"/>
    </row>
    <row r="1119" spans="1:68" ht="14.25" customHeight="1">
      <c r="A1119" s="12">
        <v>462</v>
      </c>
      <c r="B1119" s="14">
        <v>431</v>
      </c>
      <c r="C1119" s="13" t="s">
        <v>30</v>
      </c>
      <c r="D1119" s="13" t="s">
        <v>57</v>
      </c>
      <c r="E1119" s="13" t="s">
        <v>648</v>
      </c>
      <c r="F1119" s="11">
        <v>-35.1</v>
      </c>
      <c r="G1119" s="11">
        <v>-33.299999999999997</v>
      </c>
      <c r="H1119" s="11">
        <v>-28.8</v>
      </c>
      <c r="I1119" s="11">
        <v>-18.7</v>
      </c>
      <c r="J1119" s="11">
        <v>-7.3</v>
      </c>
      <c r="K1119" s="11">
        <v>5.5</v>
      </c>
      <c r="L1119" s="11">
        <v>11.9</v>
      </c>
      <c r="M1119" s="11">
        <v>8.3000000000000007</v>
      </c>
      <c r="N1119" s="11">
        <v>1.1000000000000001</v>
      </c>
      <c r="O1119" s="11">
        <v>-12.6</v>
      </c>
      <c r="P1119" s="11">
        <v>-27.7</v>
      </c>
      <c r="Q1119" s="11">
        <v>-31.4</v>
      </c>
      <c r="R1119" s="10">
        <v>-14</v>
      </c>
      <c r="S1119" s="12">
        <v>431</v>
      </c>
      <c r="T1119" s="8" t="s">
        <v>648</v>
      </c>
      <c r="U1119" s="11">
        <v>-57</v>
      </c>
      <c r="V1119" s="11">
        <v>-54</v>
      </c>
      <c r="W1119" s="11">
        <v>-55</v>
      </c>
      <c r="X1119" s="11">
        <v>-53</v>
      </c>
      <c r="Y1119" s="11">
        <v>-40</v>
      </c>
      <c r="Z1119" s="11">
        <v>-58</v>
      </c>
      <c r="AA1119" s="11">
        <v>7.9</v>
      </c>
      <c r="AB1119" s="11">
        <v>257</v>
      </c>
      <c r="AC1119" s="11">
        <v>-22.6</v>
      </c>
      <c r="AD1119" s="11">
        <v>314</v>
      </c>
      <c r="AE1119" s="11">
        <v>-17.8</v>
      </c>
      <c r="AF1119" s="11">
        <v>340</v>
      </c>
      <c r="AG1119" s="11">
        <v>-15.8</v>
      </c>
      <c r="AH1119" s="11">
        <v>75</v>
      </c>
      <c r="AI1119" s="11">
        <v>75</v>
      </c>
      <c r="AJ1119" s="11">
        <v>50</v>
      </c>
      <c r="AK1119" s="11" t="s">
        <v>27</v>
      </c>
      <c r="AL1119" s="11" t="s">
        <v>44</v>
      </c>
      <c r="AM1119" s="10">
        <v>3.4</v>
      </c>
      <c r="AN1119" s="9">
        <v>431</v>
      </c>
      <c r="AO1119" s="8" t="s">
        <v>649</v>
      </c>
      <c r="AP1119" s="8">
        <v>1010</v>
      </c>
      <c r="AQ1119" s="8">
        <v>14.9</v>
      </c>
      <c r="AR1119" s="8">
        <v>19.399999999999999</v>
      </c>
      <c r="AS1119" s="8">
        <v>17.3</v>
      </c>
      <c r="AT1119" s="8">
        <v>36</v>
      </c>
      <c r="AU1119" s="8">
        <v>10.4</v>
      </c>
      <c r="AV1119" s="8">
        <v>70</v>
      </c>
      <c r="AW1119" s="8">
        <v>59</v>
      </c>
      <c r="AX1119" s="8">
        <v>178</v>
      </c>
      <c r="AY1119" s="8">
        <v>34</v>
      </c>
      <c r="AZ1119" s="8" t="s">
        <v>54</v>
      </c>
      <c r="BA1119" s="7" t="s">
        <v>46</v>
      </c>
      <c r="BB1119" s="9">
        <v>394</v>
      </c>
      <c r="BC1119" s="8" t="s">
        <v>648</v>
      </c>
      <c r="BD1119" s="8">
        <v>0.4</v>
      </c>
      <c r="BE1119" s="8">
        <v>0.4</v>
      </c>
      <c r="BF1119" s="8">
        <v>0.6</v>
      </c>
      <c r="BG1119" s="8">
        <v>1.3</v>
      </c>
      <c r="BH1119" s="8">
        <v>3.1</v>
      </c>
      <c r="BI1119" s="8">
        <v>6.8</v>
      </c>
      <c r="BJ1119" s="8">
        <v>9.6</v>
      </c>
      <c r="BK1119" s="8">
        <v>8.6</v>
      </c>
      <c r="BL1119" s="8">
        <v>5.7</v>
      </c>
      <c r="BM1119" s="8">
        <v>2.2999999999999998</v>
      </c>
      <c r="BN1119" s="8">
        <v>0.7</v>
      </c>
      <c r="BO1119" s="8">
        <v>0.5</v>
      </c>
      <c r="BP1119" s="7">
        <v>3.3</v>
      </c>
    </row>
    <row r="1120" spans="1:68" ht="14.25" customHeight="1">
      <c r="A1120" s="12">
        <v>463</v>
      </c>
      <c r="B1120" s="14">
        <v>198</v>
      </c>
      <c r="C1120" s="13" t="s">
        <v>30</v>
      </c>
      <c r="D1120" s="13" t="s">
        <v>449</v>
      </c>
      <c r="E1120" s="13" t="s">
        <v>645</v>
      </c>
      <c r="F1120" s="11">
        <v>-9.8000000000000007</v>
      </c>
      <c r="G1120" s="11">
        <v>-9.6999999999999993</v>
      </c>
      <c r="H1120" s="11">
        <v>-5.7</v>
      </c>
      <c r="I1120" s="11">
        <v>1.9</v>
      </c>
      <c r="J1120" s="11">
        <v>8.9</v>
      </c>
      <c r="K1120" s="11">
        <v>14.1</v>
      </c>
      <c r="L1120" s="11">
        <v>16.899999999999999</v>
      </c>
      <c r="M1120" s="11">
        <v>15.2</v>
      </c>
      <c r="N1120" s="11">
        <v>10</v>
      </c>
      <c r="O1120" s="11">
        <v>4</v>
      </c>
      <c r="P1120" s="11">
        <v>-1.6</v>
      </c>
      <c r="Q1120" s="11">
        <v>-6.7</v>
      </c>
      <c r="R1120" s="10">
        <v>3.1</v>
      </c>
      <c r="S1120" s="12">
        <v>198</v>
      </c>
      <c r="T1120" s="8" t="s">
        <v>647</v>
      </c>
      <c r="U1120" s="11">
        <v>-37</v>
      </c>
      <c r="V1120" s="11">
        <v>-34</v>
      </c>
      <c r="W1120" s="11">
        <v>-32</v>
      </c>
      <c r="X1120" s="11">
        <v>-29</v>
      </c>
      <c r="Y1120" s="11">
        <v>-15</v>
      </c>
      <c r="Z1120" s="11">
        <v>-48</v>
      </c>
      <c r="AA1120" s="11">
        <v>7.1</v>
      </c>
      <c r="AB1120" s="11">
        <v>152</v>
      </c>
      <c r="AC1120" s="11">
        <v>-6.4</v>
      </c>
      <c r="AD1120" s="11">
        <v>228</v>
      </c>
      <c r="AE1120" s="11">
        <v>-2.9</v>
      </c>
      <c r="AF1120" s="11">
        <v>249</v>
      </c>
      <c r="AG1120" s="11">
        <v>-1.9</v>
      </c>
      <c r="AH1120" s="11">
        <v>86</v>
      </c>
      <c r="AI1120" s="11">
        <v>86</v>
      </c>
      <c r="AJ1120" s="11">
        <v>231</v>
      </c>
      <c r="AK1120" s="11" t="s">
        <v>34</v>
      </c>
      <c r="AL1120" s="11">
        <v>5.5</v>
      </c>
      <c r="AM1120" s="10">
        <v>4.2</v>
      </c>
      <c r="AN1120" s="9">
        <v>200</v>
      </c>
      <c r="AO1120" s="8" t="s">
        <v>646</v>
      </c>
      <c r="AP1120" s="8">
        <v>1010</v>
      </c>
      <c r="AQ1120" s="8">
        <v>19.399999999999999</v>
      </c>
      <c r="AR1120" s="8">
        <v>23.7</v>
      </c>
      <c r="AS1120" s="8">
        <v>21.8</v>
      </c>
      <c r="AT1120" s="8">
        <v>34</v>
      </c>
      <c r="AU1120" s="8">
        <v>9.6999999999999993</v>
      </c>
      <c r="AV1120" s="8">
        <v>76</v>
      </c>
      <c r="AW1120" s="8">
        <v>64</v>
      </c>
      <c r="AX1120" s="8">
        <v>405</v>
      </c>
      <c r="AY1120" s="8">
        <v>76</v>
      </c>
      <c r="AZ1120" s="8" t="s">
        <v>54</v>
      </c>
      <c r="BA1120" s="7">
        <v>4.4000000000000004</v>
      </c>
      <c r="BB1120" s="9">
        <v>173</v>
      </c>
      <c r="BC1120" s="8" t="s">
        <v>645</v>
      </c>
      <c r="BD1120" s="8">
        <v>3</v>
      </c>
      <c r="BE1120" s="8">
        <v>3</v>
      </c>
      <c r="BF1120" s="8">
        <v>3.7</v>
      </c>
      <c r="BG1120" s="8">
        <v>5.6</v>
      </c>
      <c r="BH1120" s="8">
        <v>8.1</v>
      </c>
      <c r="BI1120" s="8">
        <v>11.8</v>
      </c>
      <c r="BJ1120" s="8">
        <v>14.8</v>
      </c>
      <c r="BK1120" s="8">
        <v>14.3</v>
      </c>
      <c r="BL1120" s="8">
        <v>10.6</v>
      </c>
      <c r="BM1120" s="8">
        <v>7.3</v>
      </c>
      <c r="BN1120" s="8">
        <v>5.2</v>
      </c>
      <c r="BO1120" s="8">
        <v>3.8</v>
      </c>
      <c r="BP1120" s="7">
        <v>7.6</v>
      </c>
    </row>
    <row r="1121" spans="1:68" ht="14.25" customHeight="1">
      <c r="A1121" s="12">
        <v>464</v>
      </c>
      <c r="B1121" s="14">
        <v>28</v>
      </c>
      <c r="C1121" s="13" t="s">
        <v>30</v>
      </c>
      <c r="D1121" s="13" t="s">
        <v>99</v>
      </c>
      <c r="E1121" s="13" t="s">
        <v>642</v>
      </c>
      <c r="F1121" s="11">
        <v>-27.7</v>
      </c>
      <c r="G1121" s="11">
        <v>-21.6</v>
      </c>
      <c r="H1121" s="11">
        <v>-12.1</v>
      </c>
      <c r="I1121" s="11">
        <v>1</v>
      </c>
      <c r="J1121" s="11">
        <v>9.6</v>
      </c>
      <c r="K1121" s="11">
        <v>16.600000000000001</v>
      </c>
      <c r="L1121" s="11">
        <v>20.2</v>
      </c>
      <c r="M1121" s="11">
        <v>17.7</v>
      </c>
      <c r="N1121" s="11">
        <v>10.6</v>
      </c>
      <c r="O1121" s="11">
        <v>0</v>
      </c>
      <c r="P1121" s="11">
        <v>-14.9</v>
      </c>
      <c r="Q1121" s="11">
        <v>-25.4</v>
      </c>
      <c r="R1121" s="10">
        <v>-2.2000000000000002</v>
      </c>
      <c r="S1121" s="12">
        <v>28</v>
      </c>
      <c r="T1121" s="8" t="s">
        <v>644</v>
      </c>
      <c r="U1121" s="11">
        <v>-44</v>
      </c>
      <c r="V1121" s="11">
        <v>-42</v>
      </c>
      <c r="W1121" s="11">
        <v>-41</v>
      </c>
      <c r="X1121" s="11">
        <v>-39</v>
      </c>
      <c r="Y1121" s="11">
        <v>-33</v>
      </c>
      <c r="Z1121" s="11">
        <v>-52</v>
      </c>
      <c r="AA1121" s="11">
        <v>12.2</v>
      </c>
      <c r="AB1121" s="11">
        <v>179</v>
      </c>
      <c r="AC1121" s="11">
        <v>-17.100000000000001</v>
      </c>
      <c r="AD1121" s="11">
        <v>229</v>
      </c>
      <c r="AE1121" s="11">
        <v>-12.4</v>
      </c>
      <c r="AF1121" s="11">
        <v>242</v>
      </c>
      <c r="AG1121" s="11">
        <v>-11.3</v>
      </c>
      <c r="AH1121" s="11">
        <v>70</v>
      </c>
      <c r="AI1121" s="11">
        <v>63</v>
      </c>
      <c r="AJ1121" s="11">
        <v>66</v>
      </c>
      <c r="AK1121" s="11" t="s">
        <v>75</v>
      </c>
      <c r="AL1121" s="11" t="s">
        <v>44</v>
      </c>
      <c r="AM1121" s="10" t="s">
        <v>44</v>
      </c>
      <c r="AN1121" s="9">
        <v>28</v>
      </c>
      <c r="AO1121" s="8" t="s">
        <v>643</v>
      </c>
      <c r="AP1121" s="8">
        <v>985</v>
      </c>
      <c r="AQ1121" s="8">
        <v>24.2</v>
      </c>
      <c r="AR1121" s="8">
        <v>28.3</v>
      </c>
      <c r="AS1121" s="8">
        <v>26.6</v>
      </c>
      <c r="AT1121" s="8">
        <v>40</v>
      </c>
      <c r="AU1121" s="8">
        <v>12.5</v>
      </c>
      <c r="AV1121" s="8">
        <v>78</v>
      </c>
      <c r="AW1121" s="8">
        <v>60</v>
      </c>
      <c r="AX1121" s="8">
        <v>578</v>
      </c>
      <c r="AY1121" s="8">
        <v>89</v>
      </c>
      <c r="AZ1121" s="8" t="s">
        <v>54</v>
      </c>
      <c r="BA1121" s="7" t="s">
        <v>46</v>
      </c>
      <c r="BB1121" s="9"/>
      <c r="BC1121" s="8" t="s">
        <v>642</v>
      </c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7"/>
    </row>
    <row r="1122" spans="1:68" ht="14.25" customHeight="1">
      <c r="A1122" s="12">
        <v>465</v>
      </c>
      <c r="B1122" s="14">
        <v>465</v>
      </c>
      <c r="C1122" s="13" t="s">
        <v>555</v>
      </c>
      <c r="D1122" s="13" t="s">
        <v>555</v>
      </c>
      <c r="E1122" s="13" t="s">
        <v>641</v>
      </c>
      <c r="F1122" s="11">
        <v>-8.1999999999999993</v>
      </c>
      <c r="G1122" s="11">
        <v>-7.4</v>
      </c>
      <c r="H1122" s="11">
        <v>-3.3</v>
      </c>
      <c r="I1122" s="11">
        <v>3.5</v>
      </c>
      <c r="J1122" s="11">
        <v>8.8000000000000007</v>
      </c>
      <c r="K1122" s="11">
        <v>12.1</v>
      </c>
      <c r="L1122" s="11">
        <v>15.7</v>
      </c>
      <c r="M1122" s="11">
        <v>15.7</v>
      </c>
      <c r="N1122" s="11">
        <v>12.2</v>
      </c>
      <c r="O1122" s="11">
        <v>6.4</v>
      </c>
      <c r="P1122" s="11">
        <v>0.6</v>
      </c>
      <c r="Q1122" s="11">
        <v>-5.5</v>
      </c>
      <c r="R1122" s="10">
        <v>4.2</v>
      </c>
      <c r="S1122" s="12">
        <v>465</v>
      </c>
      <c r="T1122" s="8" t="s">
        <v>639</v>
      </c>
      <c r="U1122" s="11">
        <v>-23</v>
      </c>
      <c r="V1122" s="11">
        <v>-20</v>
      </c>
      <c r="W1122" s="11">
        <v>-20</v>
      </c>
      <c r="X1122" s="11">
        <v>-18</v>
      </c>
      <c r="Y1122" s="11" t="s">
        <v>49</v>
      </c>
      <c r="Z1122" s="11">
        <v>-33</v>
      </c>
      <c r="AA1122" s="11">
        <v>7.6</v>
      </c>
      <c r="AB1122" s="11">
        <v>134</v>
      </c>
      <c r="AC1122" s="11">
        <v>-5.6</v>
      </c>
      <c r="AD1122" s="11">
        <v>213</v>
      </c>
      <c r="AE1122" s="11">
        <v>-2</v>
      </c>
      <c r="AF1122" s="11">
        <v>240</v>
      </c>
      <c r="AG1122" s="11">
        <v>-0.7</v>
      </c>
      <c r="AH1122" s="11">
        <v>81</v>
      </c>
      <c r="AI1122" s="11">
        <v>78</v>
      </c>
      <c r="AJ1122" s="11">
        <v>161</v>
      </c>
      <c r="AK1122" s="11" t="s">
        <v>48</v>
      </c>
      <c r="AL1122" s="11">
        <v>5.0999999999999996</v>
      </c>
      <c r="AM1122" s="10" t="s">
        <v>44</v>
      </c>
      <c r="AN1122" s="9">
        <v>465</v>
      </c>
      <c r="AO1122" s="8" t="s">
        <v>640</v>
      </c>
      <c r="AP1122" s="8">
        <v>805</v>
      </c>
      <c r="AQ1122" s="8" t="s">
        <v>45</v>
      </c>
      <c r="AR1122" s="8" t="s">
        <v>44</v>
      </c>
      <c r="AS1122" s="8">
        <v>21.9</v>
      </c>
      <c r="AT1122" s="8">
        <v>35</v>
      </c>
      <c r="AU1122" s="8" t="s">
        <v>46</v>
      </c>
      <c r="AV1122" s="8">
        <v>71</v>
      </c>
      <c r="AW1122" s="8">
        <v>57</v>
      </c>
      <c r="AX1122" s="8">
        <v>427</v>
      </c>
      <c r="AY1122" s="8" t="s">
        <v>64</v>
      </c>
      <c r="AZ1122" s="8" t="s">
        <v>37</v>
      </c>
      <c r="BA1122" s="7">
        <v>0</v>
      </c>
      <c r="BB1122" s="9"/>
      <c r="BC1122" s="8" t="s">
        <v>639</v>
      </c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7"/>
    </row>
    <row r="1123" spans="1:68" ht="14.25" customHeight="1">
      <c r="A1123" s="12">
        <v>466</v>
      </c>
      <c r="B1123" s="14">
        <v>532</v>
      </c>
      <c r="C1123" s="13" t="s">
        <v>121</v>
      </c>
      <c r="D1123" s="13" t="s">
        <v>638</v>
      </c>
      <c r="E1123" s="13" t="s">
        <v>636</v>
      </c>
      <c r="F1123" s="11">
        <v>-16</v>
      </c>
      <c r="G1123" s="11">
        <v>-15.6</v>
      </c>
      <c r="H1123" s="11">
        <v>-8.4</v>
      </c>
      <c r="I1123" s="11">
        <v>4.7</v>
      </c>
      <c r="J1123" s="11">
        <v>14.1</v>
      </c>
      <c r="K1123" s="11">
        <v>19.8</v>
      </c>
      <c r="L1123" s="11">
        <v>21.9</v>
      </c>
      <c r="M1123" s="11">
        <v>19.3</v>
      </c>
      <c r="N1123" s="11">
        <v>13</v>
      </c>
      <c r="O1123" s="11">
        <v>4.5</v>
      </c>
      <c r="P1123" s="11">
        <v>-5.9</v>
      </c>
      <c r="Q1123" s="11">
        <v>-13.3</v>
      </c>
      <c r="R1123" s="10">
        <v>3.2</v>
      </c>
      <c r="S1123" s="12">
        <v>532</v>
      </c>
      <c r="T1123" s="8" t="s">
        <v>636</v>
      </c>
      <c r="U1123" s="11">
        <v>-44</v>
      </c>
      <c r="V1123" s="11">
        <v>-41</v>
      </c>
      <c r="W1123" s="11">
        <v>-40</v>
      </c>
      <c r="X1123" s="11">
        <v>-36</v>
      </c>
      <c r="Y1123" s="11" t="s">
        <v>49</v>
      </c>
      <c r="Z1123" s="11" t="s">
        <v>44</v>
      </c>
      <c r="AA1123" s="11">
        <v>9.8000000000000007</v>
      </c>
      <c r="AB1123" s="11">
        <v>159</v>
      </c>
      <c r="AC1123" s="11">
        <v>-11.2</v>
      </c>
      <c r="AD1123" s="11">
        <v>203</v>
      </c>
      <c r="AE1123" s="11">
        <v>-7.8</v>
      </c>
      <c r="AF1123" s="11">
        <v>216</v>
      </c>
      <c r="AG1123" s="11">
        <v>-6.8</v>
      </c>
      <c r="AH1123" s="11">
        <v>76</v>
      </c>
      <c r="AI1123" s="11" t="s">
        <v>49</v>
      </c>
      <c r="AJ1123" s="11">
        <v>109</v>
      </c>
      <c r="AK1123" s="11" t="s">
        <v>44</v>
      </c>
      <c r="AL1123" s="11" t="s">
        <v>44</v>
      </c>
      <c r="AM1123" s="10" t="s">
        <v>44</v>
      </c>
      <c r="AN1123" s="9">
        <v>532</v>
      </c>
      <c r="AO1123" s="8" t="s">
        <v>637</v>
      </c>
      <c r="AP1123" s="8" t="s">
        <v>64</v>
      </c>
      <c r="AQ1123" s="8" t="s">
        <v>45</v>
      </c>
      <c r="AR1123" s="8" t="s">
        <v>44</v>
      </c>
      <c r="AS1123" s="8">
        <v>28.9</v>
      </c>
      <c r="AT1123" s="8">
        <v>42</v>
      </c>
      <c r="AU1123" s="8">
        <v>14.2</v>
      </c>
      <c r="AV1123" s="8">
        <v>58</v>
      </c>
      <c r="AW1123" s="8" t="s">
        <v>44</v>
      </c>
      <c r="AX1123" s="8">
        <v>197</v>
      </c>
      <c r="AY1123" s="8" t="s">
        <v>64</v>
      </c>
      <c r="AZ1123" s="8" t="s">
        <v>114</v>
      </c>
      <c r="BA1123" s="7" t="s">
        <v>46</v>
      </c>
      <c r="BB1123" s="9"/>
      <c r="BC1123" s="8" t="s">
        <v>636</v>
      </c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7"/>
    </row>
    <row r="1124" spans="1:68" ht="14.25" customHeight="1">
      <c r="A1124" s="12">
        <v>467</v>
      </c>
      <c r="B1124" s="14">
        <v>123</v>
      </c>
      <c r="C1124" s="13" t="s">
        <v>30</v>
      </c>
      <c r="D1124" s="13" t="s">
        <v>293</v>
      </c>
      <c r="E1124" s="13" t="s">
        <v>633</v>
      </c>
      <c r="F1124" s="11">
        <v>-6.3</v>
      </c>
      <c r="G1124" s="11">
        <v>-6.2</v>
      </c>
      <c r="H1124" s="11">
        <v>-4.7</v>
      </c>
      <c r="I1124" s="11">
        <v>-1</v>
      </c>
      <c r="J1124" s="11">
        <v>3.2</v>
      </c>
      <c r="K1124" s="11">
        <v>7.3</v>
      </c>
      <c r="L1124" s="11">
        <v>11.4</v>
      </c>
      <c r="M1124" s="11">
        <v>12.8</v>
      </c>
      <c r="N1124" s="11">
        <v>9.9</v>
      </c>
      <c r="O1124" s="11">
        <v>4.7</v>
      </c>
      <c r="P1124" s="11">
        <v>-1.8</v>
      </c>
      <c r="Q1124" s="11">
        <v>-5.2</v>
      </c>
      <c r="R1124" s="10">
        <v>2</v>
      </c>
      <c r="S1124" s="12">
        <v>123</v>
      </c>
      <c r="T1124" s="8" t="s">
        <v>635</v>
      </c>
      <c r="U1124" s="11">
        <v>-19</v>
      </c>
      <c r="V1124" s="11">
        <v>-18</v>
      </c>
      <c r="W1124" s="11">
        <v>-18</v>
      </c>
      <c r="X1124" s="11">
        <v>-16</v>
      </c>
      <c r="Y1124" s="11">
        <v>-11</v>
      </c>
      <c r="Z1124" s="11">
        <v>-25</v>
      </c>
      <c r="AA1124" s="11">
        <v>4.8</v>
      </c>
      <c r="AB1124" s="11">
        <v>167</v>
      </c>
      <c r="AC1124" s="11">
        <v>-4.4000000000000004</v>
      </c>
      <c r="AD1124" s="11">
        <v>267</v>
      </c>
      <c r="AE1124" s="11">
        <v>1.2</v>
      </c>
      <c r="AF1124" s="11">
        <v>294</v>
      </c>
      <c r="AG1124" s="11">
        <v>-0.2</v>
      </c>
      <c r="AH1124" s="11">
        <v>65</v>
      </c>
      <c r="AI1124" s="11">
        <v>63</v>
      </c>
      <c r="AJ1124" s="11" t="s">
        <v>84</v>
      </c>
      <c r="AK1124" s="11" t="s">
        <v>199</v>
      </c>
      <c r="AL1124" s="11">
        <v>12.2</v>
      </c>
      <c r="AM1124" s="10" t="s">
        <v>44</v>
      </c>
      <c r="AN1124" s="9">
        <v>123</v>
      </c>
      <c r="AO1124" s="8" t="s">
        <v>634</v>
      </c>
      <c r="AP1124" s="8">
        <v>1010</v>
      </c>
      <c r="AQ1124" s="8">
        <v>13.6</v>
      </c>
      <c r="AR1124" s="8">
        <v>18.2</v>
      </c>
      <c r="AS1124" s="8">
        <v>16</v>
      </c>
      <c r="AT1124" s="8">
        <v>31</v>
      </c>
      <c r="AU1124" s="8">
        <v>5.7</v>
      </c>
      <c r="AV1124" s="8">
        <v>85</v>
      </c>
      <c r="AW1124" s="8">
        <v>81</v>
      </c>
      <c r="AX1124" s="8">
        <v>864</v>
      </c>
      <c r="AY1124" s="8" t="s">
        <v>64</v>
      </c>
      <c r="AZ1124" s="8" t="s">
        <v>151</v>
      </c>
      <c r="BA1124" s="7">
        <v>0</v>
      </c>
      <c r="BB1124" s="9">
        <v>107</v>
      </c>
      <c r="BC1124" s="8" t="s">
        <v>633</v>
      </c>
      <c r="BD1124" s="8">
        <v>2.8</v>
      </c>
      <c r="BE1124" s="8">
        <v>2.7</v>
      </c>
      <c r="BF1124" s="8">
        <v>3</v>
      </c>
      <c r="BG1124" s="8">
        <v>4.2</v>
      </c>
      <c r="BH1124" s="8">
        <v>6.1</v>
      </c>
      <c r="BI1124" s="8">
        <v>8.8000000000000007</v>
      </c>
      <c r="BJ1124" s="8">
        <v>11.9</v>
      </c>
      <c r="BK1124" s="8">
        <v>12.5</v>
      </c>
      <c r="BL1124" s="8">
        <v>9.6999999999999993</v>
      </c>
      <c r="BM1124" s="8">
        <v>5.7</v>
      </c>
      <c r="BN1124" s="8">
        <v>3.4</v>
      </c>
      <c r="BO1124" s="8">
        <v>3</v>
      </c>
      <c r="BP1124" s="7">
        <v>6.2</v>
      </c>
    </row>
    <row r="1125" spans="1:68" ht="14.25" customHeight="1">
      <c r="A1125" s="12">
        <v>468</v>
      </c>
      <c r="B1125" s="14">
        <v>552</v>
      </c>
      <c r="C1125" s="17" t="s">
        <v>208</v>
      </c>
      <c r="D1125" s="17" t="s">
        <v>469</v>
      </c>
      <c r="E1125" s="13" t="s">
        <v>631</v>
      </c>
      <c r="F1125" s="11"/>
      <c r="G1125" s="11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0"/>
      <c r="S1125" s="16">
        <v>552</v>
      </c>
      <c r="T1125" s="8" t="s">
        <v>631</v>
      </c>
      <c r="U1125" s="11">
        <v>-18</v>
      </c>
      <c r="V1125" s="11">
        <v>-14</v>
      </c>
      <c r="W1125" s="11">
        <v>-14</v>
      </c>
      <c r="X1125" s="11">
        <v>-11</v>
      </c>
      <c r="Y1125" s="11">
        <v>-3</v>
      </c>
      <c r="Z1125" s="11">
        <v>-26</v>
      </c>
      <c r="AA1125" s="11">
        <v>9.6999999999999993</v>
      </c>
      <c r="AB1125" s="11">
        <v>0</v>
      </c>
      <c r="AC1125" s="11" t="s">
        <v>50</v>
      </c>
      <c r="AD1125" s="11">
        <v>96</v>
      </c>
      <c r="AE1125" s="11">
        <v>4.9000000000000004</v>
      </c>
      <c r="AF1125" s="11">
        <v>117</v>
      </c>
      <c r="AG1125" s="11">
        <v>5.7</v>
      </c>
      <c r="AH1125" s="11" t="s">
        <v>49</v>
      </c>
      <c r="AI1125" s="11">
        <v>63</v>
      </c>
      <c r="AJ1125" s="11">
        <v>150</v>
      </c>
      <c r="AK1125" s="11" t="s">
        <v>75</v>
      </c>
      <c r="AL1125" s="11">
        <v>4.8</v>
      </c>
      <c r="AM1125" s="10" t="s">
        <v>44</v>
      </c>
      <c r="AN1125" s="9">
        <v>553</v>
      </c>
      <c r="AO1125" s="8" t="s">
        <v>632</v>
      </c>
      <c r="AP1125" s="8">
        <v>980</v>
      </c>
      <c r="AQ1125" s="8">
        <v>41</v>
      </c>
      <c r="AR1125" s="8">
        <v>35</v>
      </c>
      <c r="AS1125" s="8">
        <v>38.4</v>
      </c>
      <c r="AT1125" s="8">
        <v>47</v>
      </c>
      <c r="AU1125" s="8">
        <v>15.5</v>
      </c>
      <c r="AV1125" s="8">
        <v>24</v>
      </c>
      <c r="AW1125" s="8">
        <v>14</v>
      </c>
      <c r="AX1125" s="8">
        <v>58</v>
      </c>
      <c r="AY1125" s="8">
        <v>53</v>
      </c>
      <c r="AZ1125" s="8" t="s">
        <v>54</v>
      </c>
      <c r="BA1125" s="7">
        <v>2.6</v>
      </c>
      <c r="BB1125" s="9"/>
      <c r="BC1125" s="8" t="s">
        <v>631</v>
      </c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7"/>
    </row>
    <row r="1126" spans="1:68" ht="14.25" customHeight="1">
      <c r="A1126" s="12">
        <v>469</v>
      </c>
      <c r="B1126" s="14">
        <v>362</v>
      </c>
      <c r="C1126" s="13" t="s">
        <v>30</v>
      </c>
      <c r="D1126" s="13" t="s">
        <v>86</v>
      </c>
      <c r="E1126" s="13" t="s">
        <v>628</v>
      </c>
      <c r="F1126" s="11">
        <v>-18.2</v>
      </c>
      <c r="G1126" s="11">
        <v>-15.3</v>
      </c>
      <c r="H1126" s="11">
        <v>-9.3000000000000007</v>
      </c>
      <c r="I1126" s="11">
        <v>-1.2</v>
      </c>
      <c r="J1126" s="11">
        <v>2.9</v>
      </c>
      <c r="K1126" s="11">
        <v>7.5</v>
      </c>
      <c r="L1126" s="11">
        <v>12.6</v>
      </c>
      <c r="M1126" s="11">
        <v>14.7</v>
      </c>
      <c r="N1126" s="11">
        <v>11.4</v>
      </c>
      <c r="O1126" s="11">
        <v>3.2</v>
      </c>
      <c r="P1126" s="11">
        <v>-7.5</v>
      </c>
      <c r="Q1126" s="11">
        <v>-14.9</v>
      </c>
      <c r="R1126" s="10">
        <v>-1.2</v>
      </c>
      <c r="S1126" s="12">
        <v>362</v>
      </c>
      <c r="T1126" s="8" t="s">
        <v>630</v>
      </c>
      <c r="U1126" s="11">
        <v>-30</v>
      </c>
      <c r="V1126" s="11">
        <v>-29</v>
      </c>
      <c r="W1126" s="11">
        <v>-28</v>
      </c>
      <c r="X1126" s="11">
        <v>-26</v>
      </c>
      <c r="Y1126" s="11">
        <v>-23</v>
      </c>
      <c r="Z1126" s="11">
        <v>-43</v>
      </c>
      <c r="AA1126" s="11">
        <v>11.6</v>
      </c>
      <c r="AB1126" s="11">
        <v>181</v>
      </c>
      <c r="AC1126" s="11">
        <v>-10.8</v>
      </c>
      <c r="AD1126" s="11">
        <v>263</v>
      </c>
      <c r="AE1126" s="11">
        <v>-6.2</v>
      </c>
      <c r="AF1126" s="11">
        <v>283</v>
      </c>
      <c r="AG1126" s="11">
        <v>-5.0999999999999996</v>
      </c>
      <c r="AH1126" s="11">
        <v>65</v>
      </c>
      <c r="AI1126" s="11">
        <v>53</v>
      </c>
      <c r="AJ1126" s="11">
        <v>133</v>
      </c>
      <c r="AK1126" s="11" t="s">
        <v>48</v>
      </c>
      <c r="AL1126" s="11" t="s">
        <v>44</v>
      </c>
      <c r="AM1126" s="10">
        <v>3</v>
      </c>
      <c r="AN1126" s="9">
        <v>362</v>
      </c>
      <c r="AO1126" s="8" t="s">
        <v>629</v>
      </c>
      <c r="AP1126" s="8">
        <v>1010</v>
      </c>
      <c r="AQ1126" s="8">
        <v>17</v>
      </c>
      <c r="AR1126" s="8">
        <v>21.4</v>
      </c>
      <c r="AS1126" s="8">
        <v>19.399999999999999</v>
      </c>
      <c r="AT1126" s="8">
        <v>36</v>
      </c>
      <c r="AU1126" s="8">
        <v>9.6999999999999993</v>
      </c>
      <c r="AV1126" s="8">
        <v>90</v>
      </c>
      <c r="AW1126" s="8">
        <v>80</v>
      </c>
      <c r="AX1126" s="8">
        <v>718</v>
      </c>
      <c r="AY1126" s="8">
        <v>92</v>
      </c>
      <c r="AZ1126" s="8" t="s">
        <v>63</v>
      </c>
      <c r="BA1126" s="7" t="s">
        <v>46</v>
      </c>
      <c r="BB1126" s="9">
        <v>327</v>
      </c>
      <c r="BC1126" s="8" t="s">
        <v>628</v>
      </c>
      <c r="BD1126" s="8">
        <v>1.1000000000000001</v>
      </c>
      <c r="BE1126" s="8">
        <v>1.4</v>
      </c>
      <c r="BF1126" s="8">
        <v>2.4</v>
      </c>
      <c r="BG1126" s="8">
        <v>4.4000000000000004</v>
      </c>
      <c r="BH1126" s="8">
        <v>6.5</v>
      </c>
      <c r="BI1126" s="8">
        <v>9.6</v>
      </c>
      <c r="BJ1126" s="8">
        <v>13.5</v>
      </c>
      <c r="BK1126" s="8">
        <v>15.2</v>
      </c>
      <c r="BL1126" s="8">
        <v>11.3</v>
      </c>
      <c r="BM1126" s="8">
        <v>5.7</v>
      </c>
      <c r="BN1126" s="8">
        <v>2.5</v>
      </c>
      <c r="BO1126" s="8">
        <v>1.4</v>
      </c>
      <c r="BP1126" s="7">
        <v>6.3</v>
      </c>
    </row>
    <row r="1127" spans="1:68" ht="14.25" customHeight="1">
      <c r="A1127" s="12">
        <v>470</v>
      </c>
      <c r="B1127" s="14">
        <v>651</v>
      </c>
      <c r="C1127" s="13" t="s">
        <v>52</v>
      </c>
      <c r="D1127" s="13" t="s">
        <v>51</v>
      </c>
      <c r="E1127" s="13" t="s">
        <v>626</v>
      </c>
      <c r="F1127" s="11">
        <v>-0.5</v>
      </c>
      <c r="G1127" s="11">
        <v>0.4</v>
      </c>
      <c r="H1127" s="11">
        <v>3.6</v>
      </c>
      <c r="I1127" s="11">
        <v>10.199999999999999</v>
      </c>
      <c r="J1127" s="11">
        <v>15.2</v>
      </c>
      <c r="K1127" s="11">
        <v>19.2</v>
      </c>
      <c r="L1127" s="11">
        <v>21.5</v>
      </c>
      <c r="M1127" s="11">
        <v>21</v>
      </c>
      <c r="N1127" s="11">
        <v>16.600000000000001</v>
      </c>
      <c r="O1127" s="11">
        <v>10.7</v>
      </c>
      <c r="P1127" s="11">
        <v>6.3</v>
      </c>
      <c r="Q1127" s="11">
        <v>2.4</v>
      </c>
      <c r="R1127" s="10">
        <v>10.6</v>
      </c>
      <c r="S1127" s="12">
        <v>640</v>
      </c>
      <c r="T1127" s="8" t="s">
        <v>626</v>
      </c>
      <c r="U1127" s="11">
        <v>-22</v>
      </c>
      <c r="V1127" s="11">
        <v>-20</v>
      </c>
      <c r="W1127" s="11">
        <v>-18</v>
      </c>
      <c r="X1127" s="11">
        <v>-15</v>
      </c>
      <c r="Y1127" s="11">
        <v>-3</v>
      </c>
      <c r="Z1127" s="11">
        <v>-30</v>
      </c>
      <c r="AA1127" s="11" t="s">
        <v>49</v>
      </c>
      <c r="AB1127" s="11">
        <v>37</v>
      </c>
      <c r="AC1127" s="11">
        <v>-0.5</v>
      </c>
      <c r="AD1127" s="11">
        <v>153</v>
      </c>
      <c r="AE1127" s="11">
        <v>2.6</v>
      </c>
      <c r="AF1127" s="11">
        <v>174</v>
      </c>
      <c r="AG1127" s="11">
        <v>3.4</v>
      </c>
      <c r="AH1127" s="11" t="s">
        <v>49</v>
      </c>
      <c r="AI1127" s="11" t="s">
        <v>49</v>
      </c>
      <c r="AJ1127" s="11">
        <v>210</v>
      </c>
      <c r="AK1127" s="11" t="s">
        <v>199</v>
      </c>
      <c r="AL1127" s="11">
        <v>7.4</v>
      </c>
      <c r="AM1127" s="10" t="s">
        <v>44</v>
      </c>
      <c r="AN1127" s="9">
        <v>641</v>
      </c>
      <c r="AO1127" s="8" t="s">
        <v>627</v>
      </c>
      <c r="AP1127" s="8">
        <v>990</v>
      </c>
      <c r="AQ1127" s="8">
        <v>29</v>
      </c>
      <c r="AR1127" s="8">
        <v>26</v>
      </c>
      <c r="AS1127" s="8">
        <v>27.6</v>
      </c>
      <c r="AT1127" s="8">
        <v>39</v>
      </c>
      <c r="AU1127" s="8" t="s">
        <v>46</v>
      </c>
      <c r="AV1127" s="8" t="s">
        <v>45</v>
      </c>
      <c r="AW1127" s="8" t="s">
        <v>44</v>
      </c>
      <c r="AX1127" s="8" t="s">
        <v>44</v>
      </c>
      <c r="AY1127" s="8">
        <v>122</v>
      </c>
      <c r="AZ1127" s="8" t="s">
        <v>63</v>
      </c>
      <c r="BA1127" s="7">
        <v>2.7</v>
      </c>
      <c r="BB1127" s="9"/>
      <c r="BC1127" s="8" t="s">
        <v>626</v>
      </c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7"/>
    </row>
    <row r="1128" spans="1:68" ht="14.25" customHeight="1">
      <c r="A1128" s="12">
        <v>471</v>
      </c>
      <c r="B1128" s="14">
        <v>466</v>
      </c>
      <c r="C1128" s="13" t="s">
        <v>555</v>
      </c>
      <c r="D1128" s="13" t="s">
        <v>555</v>
      </c>
      <c r="E1128" s="13" t="s">
        <v>625</v>
      </c>
      <c r="F1128" s="11">
        <v>-4.8</v>
      </c>
      <c r="G1128" s="11">
        <v>-3.2</v>
      </c>
      <c r="H1128" s="11">
        <v>0.5</v>
      </c>
      <c r="I1128" s="11">
        <v>6.5</v>
      </c>
      <c r="J1128" s="11">
        <v>11.3</v>
      </c>
      <c r="K1128" s="11">
        <v>14.8</v>
      </c>
      <c r="L1128" s="11">
        <v>17.899999999999999</v>
      </c>
      <c r="M1128" s="11">
        <v>17.600000000000001</v>
      </c>
      <c r="N1128" s="11">
        <v>13.8</v>
      </c>
      <c r="O1128" s="11">
        <v>8.3000000000000007</v>
      </c>
      <c r="P1128" s="11">
        <v>2.6</v>
      </c>
      <c r="Q1128" s="11">
        <v>-2.7</v>
      </c>
      <c r="R1128" s="10">
        <v>6.9</v>
      </c>
      <c r="S1128" s="12">
        <v>466</v>
      </c>
      <c r="T1128" s="8" t="s">
        <v>623</v>
      </c>
      <c r="U1128" s="11">
        <v>-26</v>
      </c>
      <c r="V1128" s="11">
        <v>-23</v>
      </c>
      <c r="W1128" s="11">
        <v>-21</v>
      </c>
      <c r="X1128" s="11">
        <v>-19</v>
      </c>
      <c r="Y1128" s="11" t="s">
        <v>49</v>
      </c>
      <c r="Z1128" s="11">
        <v>-34</v>
      </c>
      <c r="AA1128" s="11" t="s">
        <v>49</v>
      </c>
      <c r="AB1128" s="11">
        <v>105</v>
      </c>
      <c r="AC1128" s="11">
        <v>-3.2</v>
      </c>
      <c r="AD1128" s="11">
        <v>189</v>
      </c>
      <c r="AE1128" s="11">
        <v>0.1</v>
      </c>
      <c r="AF1128" s="11">
        <v>211</v>
      </c>
      <c r="AG1128" s="11">
        <v>1</v>
      </c>
      <c r="AH1128" s="11">
        <v>70</v>
      </c>
      <c r="AI1128" s="11">
        <v>56</v>
      </c>
      <c r="AJ1128" s="11">
        <v>120</v>
      </c>
      <c r="AK1128" s="11" t="s">
        <v>75</v>
      </c>
      <c r="AL1128" s="11">
        <v>4.3</v>
      </c>
      <c r="AM1128" s="10" t="s">
        <v>44</v>
      </c>
      <c r="AN1128" s="9">
        <v>466</v>
      </c>
      <c r="AO1128" s="8" t="s">
        <v>624</v>
      </c>
      <c r="AP1128" s="8">
        <v>840</v>
      </c>
      <c r="AQ1128" s="8" t="s">
        <v>45</v>
      </c>
      <c r="AR1128" s="8" t="s">
        <v>44</v>
      </c>
      <c r="AS1128" s="8">
        <v>25.3</v>
      </c>
      <c r="AT1128" s="8">
        <v>36</v>
      </c>
      <c r="AU1128" s="8" t="s">
        <v>46</v>
      </c>
      <c r="AV1128" s="8">
        <v>64</v>
      </c>
      <c r="AW1128" s="8">
        <v>44</v>
      </c>
      <c r="AX1128" s="8">
        <v>272</v>
      </c>
      <c r="AY1128" s="8">
        <v>54</v>
      </c>
      <c r="AZ1128" s="8" t="s">
        <v>63</v>
      </c>
      <c r="BA1128" s="7">
        <v>0</v>
      </c>
      <c r="BB1128" s="9"/>
      <c r="BC1128" s="8" t="s">
        <v>623</v>
      </c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7"/>
    </row>
    <row r="1129" spans="1:68" ht="14.25" customHeight="1">
      <c r="A1129" s="12">
        <v>472</v>
      </c>
      <c r="B1129" s="14">
        <v>29</v>
      </c>
      <c r="C1129" s="13" t="s">
        <v>30</v>
      </c>
      <c r="D1129" s="13" t="s">
        <v>99</v>
      </c>
      <c r="E1129" s="13" t="s">
        <v>620</v>
      </c>
      <c r="F1129" s="11">
        <v>-29.1</v>
      </c>
      <c r="G1129" s="11">
        <v>-23.4</v>
      </c>
      <c r="H1129" s="11">
        <v>-14.1</v>
      </c>
      <c r="I1129" s="11">
        <v>-1.8</v>
      </c>
      <c r="J1129" s="11">
        <v>7.2</v>
      </c>
      <c r="K1129" s="11">
        <v>14.5</v>
      </c>
      <c r="L1129" s="11">
        <v>18</v>
      </c>
      <c r="M1129" s="11">
        <v>15</v>
      </c>
      <c r="N1129" s="11">
        <v>7.7</v>
      </c>
      <c r="O1129" s="11">
        <v>-3.8</v>
      </c>
      <c r="P1129" s="11">
        <v>-18.399999999999999</v>
      </c>
      <c r="Q1129" s="11">
        <v>-27.7</v>
      </c>
      <c r="R1129" s="10">
        <v>-4.7</v>
      </c>
      <c r="S1129" s="12">
        <v>29</v>
      </c>
      <c r="T1129" s="8" t="s">
        <v>622</v>
      </c>
      <c r="U1129" s="11">
        <v>-46</v>
      </c>
      <c r="V1129" s="11">
        <v>-44</v>
      </c>
      <c r="W1129" s="11">
        <v>-43</v>
      </c>
      <c r="X1129" s="11">
        <v>-40</v>
      </c>
      <c r="Y1129" s="11">
        <v>-34</v>
      </c>
      <c r="Z1129" s="11">
        <v>-52</v>
      </c>
      <c r="AA1129" s="11">
        <v>15.1</v>
      </c>
      <c r="AB1129" s="11">
        <v>198</v>
      </c>
      <c r="AC1129" s="11">
        <v>-17.8</v>
      </c>
      <c r="AD1129" s="11">
        <v>247</v>
      </c>
      <c r="AE1129" s="11">
        <v>-13.4</v>
      </c>
      <c r="AF1129" s="11">
        <v>264</v>
      </c>
      <c r="AG1129" s="11">
        <v>-12</v>
      </c>
      <c r="AH1129" s="11">
        <v>74</v>
      </c>
      <c r="AI1129" s="11">
        <v>66</v>
      </c>
      <c r="AJ1129" s="11">
        <v>40</v>
      </c>
      <c r="AK1129" s="11" t="s">
        <v>75</v>
      </c>
      <c r="AL1129" s="11">
        <v>4.7</v>
      </c>
      <c r="AM1129" s="10">
        <v>2.4</v>
      </c>
      <c r="AN1129" s="9">
        <v>29</v>
      </c>
      <c r="AO1129" s="8" t="s">
        <v>621</v>
      </c>
      <c r="AP1129" s="8">
        <v>960</v>
      </c>
      <c r="AQ1129" s="8">
        <v>23</v>
      </c>
      <c r="AR1129" s="8">
        <v>27.1</v>
      </c>
      <c r="AS1129" s="8">
        <v>25.4</v>
      </c>
      <c r="AT1129" s="8">
        <v>36</v>
      </c>
      <c r="AU1129" s="8">
        <v>15.3</v>
      </c>
      <c r="AV1129" s="8">
        <v>76</v>
      </c>
      <c r="AW1129" s="8">
        <v>56</v>
      </c>
      <c r="AX1129" s="8">
        <v>442</v>
      </c>
      <c r="AY1129" s="8">
        <v>97</v>
      </c>
      <c r="AZ1129" s="8" t="s">
        <v>63</v>
      </c>
      <c r="BA1129" s="7">
        <v>0</v>
      </c>
      <c r="BB1129" s="9"/>
      <c r="BC1129" s="8" t="s">
        <v>620</v>
      </c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7"/>
    </row>
    <row r="1130" spans="1:68" ht="14.25" customHeight="1">
      <c r="A1130" s="12">
        <v>473</v>
      </c>
      <c r="B1130" s="14">
        <v>12</v>
      </c>
      <c r="C1130" s="13" t="s">
        <v>30</v>
      </c>
      <c r="D1130" s="13" t="s">
        <v>438</v>
      </c>
      <c r="E1130" s="13" t="s">
        <v>617</v>
      </c>
      <c r="F1130" s="11">
        <v>-18.899999999999999</v>
      </c>
      <c r="G1130" s="11">
        <v>-18.2</v>
      </c>
      <c r="H1130" s="11">
        <v>-10.6</v>
      </c>
      <c r="I1130" s="11">
        <v>3</v>
      </c>
      <c r="J1130" s="11">
        <v>12.5</v>
      </c>
      <c r="K1130" s="11">
        <v>18.899999999999999</v>
      </c>
      <c r="L1130" s="11">
        <v>20.8</v>
      </c>
      <c r="M1130" s="11">
        <v>17.600000000000001</v>
      </c>
      <c r="N1130" s="11">
        <v>11.8</v>
      </c>
      <c r="O1130" s="11">
        <v>3</v>
      </c>
      <c r="P1130" s="11">
        <v>-7.8</v>
      </c>
      <c r="Q1130" s="11">
        <v>-15.9</v>
      </c>
      <c r="R1130" s="10">
        <v>1.4</v>
      </c>
      <c r="S1130" s="12">
        <v>12</v>
      </c>
      <c r="T1130" s="8" t="s">
        <v>619</v>
      </c>
      <c r="U1130" s="11">
        <v>-43</v>
      </c>
      <c r="V1130" s="11">
        <v>-40</v>
      </c>
      <c r="W1130" s="11">
        <v>-41</v>
      </c>
      <c r="X1130" s="11">
        <v>-37</v>
      </c>
      <c r="Y1130" s="11">
        <v>-24</v>
      </c>
      <c r="Z1130" s="11">
        <v>-48</v>
      </c>
      <c r="AA1130" s="11">
        <v>9.1999999999999993</v>
      </c>
      <c r="AB1130" s="11">
        <v>166</v>
      </c>
      <c r="AC1130" s="11">
        <v>-12.5</v>
      </c>
      <c r="AD1130" s="11">
        <v>215</v>
      </c>
      <c r="AE1130" s="11">
        <v>-8.6999999999999993</v>
      </c>
      <c r="AF1130" s="11">
        <v>228</v>
      </c>
      <c r="AG1130" s="11">
        <v>-7.7</v>
      </c>
      <c r="AH1130" s="11">
        <v>81</v>
      </c>
      <c r="AI1130" s="11">
        <v>80</v>
      </c>
      <c r="AJ1130" s="11">
        <v>73</v>
      </c>
      <c r="AK1130" s="11" t="s">
        <v>39</v>
      </c>
      <c r="AL1130" s="11">
        <v>6.2</v>
      </c>
      <c r="AM1130" s="10">
        <v>5.2</v>
      </c>
      <c r="AN1130" s="9">
        <v>12</v>
      </c>
      <c r="AO1130" s="8" t="s">
        <v>618</v>
      </c>
      <c r="AP1130" s="8">
        <v>995</v>
      </c>
      <c r="AQ1130" s="8">
        <v>24.9</v>
      </c>
      <c r="AR1130" s="8">
        <v>28.9</v>
      </c>
      <c r="AS1130" s="8">
        <v>27.3</v>
      </c>
      <c r="AT1130" s="8">
        <v>40</v>
      </c>
      <c r="AU1130" s="8">
        <v>12.9</v>
      </c>
      <c r="AV1130" s="8">
        <v>62</v>
      </c>
      <c r="AW1130" s="8">
        <v>45</v>
      </c>
      <c r="AX1130" s="8">
        <v>225</v>
      </c>
      <c r="AY1130" s="8">
        <v>70</v>
      </c>
      <c r="AZ1130" s="8" t="s">
        <v>54</v>
      </c>
      <c r="BA1130" s="7">
        <v>4.2</v>
      </c>
      <c r="BB1130" s="9">
        <v>8</v>
      </c>
      <c r="BC1130" s="8" t="s">
        <v>617</v>
      </c>
      <c r="BD1130" s="8">
        <v>1.5</v>
      </c>
      <c r="BE1130" s="8">
        <v>1.5</v>
      </c>
      <c r="BF1130" s="8">
        <v>2.7</v>
      </c>
      <c r="BG1130" s="8">
        <v>5.4</v>
      </c>
      <c r="BH1130" s="8">
        <v>7.2</v>
      </c>
      <c r="BI1130" s="8">
        <v>11.2</v>
      </c>
      <c r="BJ1130" s="8">
        <v>14.3</v>
      </c>
      <c r="BK1130" s="8">
        <v>12.4</v>
      </c>
      <c r="BL1130" s="8">
        <v>8.5</v>
      </c>
      <c r="BM1130" s="8">
        <v>5.5</v>
      </c>
      <c r="BN1130" s="8">
        <v>3.2</v>
      </c>
      <c r="BO1130" s="8">
        <v>2</v>
      </c>
      <c r="BP1130" s="7">
        <v>6.3</v>
      </c>
    </row>
    <row r="1131" spans="1:68" ht="14.25" customHeight="1">
      <c r="A1131" s="12">
        <v>474</v>
      </c>
      <c r="B1131" s="14">
        <v>104</v>
      </c>
      <c r="C1131" s="13" t="s">
        <v>30</v>
      </c>
      <c r="D1131" s="13" t="s">
        <v>300</v>
      </c>
      <c r="E1131" s="13" t="s">
        <v>614</v>
      </c>
      <c r="F1131" s="11">
        <v>-17.399999999999999</v>
      </c>
      <c r="G1131" s="11">
        <v>-17</v>
      </c>
      <c r="H1131" s="11">
        <v>-9.9</v>
      </c>
      <c r="I1131" s="11">
        <v>-0.3</v>
      </c>
      <c r="J1131" s="11">
        <v>6</v>
      </c>
      <c r="K1131" s="11">
        <v>11.8</v>
      </c>
      <c r="L1131" s="11">
        <v>15.3</v>
      </c>
      <c r="M1131" s="11">
        <v>14.2</v>
      </c>
      <c r="N1131" s="11">
        <v>7.8</v>
      </c>
      <c r="O1131" s="11">
        <v>-1.7</v>
      </c>
      <c r="P1131" s="11">
        <v>-7.3</v>
      </c>
      <c r="Q1131" s="11">
        <v>-13.5</v>
      </c>
      <c r="R1131" s="10">
        <v>-0.7</v>
      </c>
      <c r="S1131" s="12">
        <v>104</v>
      </c>
      <c r="T1131" s="8" t="s">
        <v>616</v>
      </c>
      <c r="U1131" s="11">
        <v>-32</v>
      </c>
      <c r="V1131" s="11">
        <v>-31</v>
      </c>
      <c r="W1131" s="11">
        <v>-30</v>
      </c>
      <c r="X1131" s="11">
        <v>-28</v>
      </c>
      <c r="Y1131" s="11">
        <v>-22</v>
      </c>
      <c r="Z1131" s="11">
        <v>-40</v>
      </c>
      <c r="AA1131" s="11">
        <v>8.8000000000000007</v>
      </c>
      <c r="AB1131" s="11">
        <v>177</v>
      </c>
      <c r="AC1131" s="11">
        <v>-11</v>
      </c>
      <c r="AD1131" s="11">
        <v>254</v>
      </c>
      <c r="AE1131" s="11">
        <v>-6.4</v>
      </c>
      <c r="AF1131" s="11">
        <v>274</v>
      </c>
      <c r="AG1131" s="11">
        <v>-5.3</v>
      </c>
      <c r="AH1131" s="11">
        <v>76</v>
      </c>
      <c r="AI1131" s="11">
        <v>68</v>
      </c>
      <c r="AJ1131" s="11">
        <v>50</v>
      </c>
      <c r="AK1131" s="11" t="s">
        <v>39</v>
      </c>
      <c r="AL1131" s="11">
        <v>1.5</v>
      </c>
      <c r="AM1131" s="10" t="s">
        <v>44</v>
      </c>
      <c r="AN1131" s="9">
        <v>104</v>
      </c>
      <c r="AO1131" s="8" t="s">
        <v>615</v>
      </c>
      <c r="AP1131" s="8">
        <v>960</v>
      </c>
      <c r="AQ1131" s="8">
        <v>17.399999999999999</v>
      </c>
      <c r="AR1131" s="8">
        <v>21.8</v>
      </c>
      <c r="AS1131" s="8">
        <v>19.8</v>
      </c>
      <c r="AT1131" s="8">
        <v>31</v>
      </c>
      <c r="AU1131" s="8">
        <v>8.1999999999999993</v>
      </c>
      <c r="AV1131" s="8">
        <v>78</v>
      </c>
      <c r="AW1131" s="8">
        <v>73</v>
      </c>
      <c r="AX1131" s="8">
        <v>476</v>
      </c>
      <c r="AY1131" s="8">
        <v>144</v>
      </c>
      <c r="AZ1131" s="8" t="s">
        <v>82</v>
      </c>
      <c r="BA1131" s="7">
        <v>0</v>
      </c>
      <c r="BB1131" s="9">
        <v>88</v>
      </c>
      <c r="BC1131" s="8" t="s">
        <v>614</v>
      </c>
      <c r="BD1131" s="8">
        <v>1.4</v>
      </c>
      <c r="BE1131" s="8">
        <v>1.4</v>
      </c>
      <c r="BF1131" s="8">
        <v>2.4</v>
      </c>
      <c r="BG1131" s="8">
        <v>4.2</v>
      </c>
      <c r="BH1131" s="8">
        <v>6.2</v>
      </c>
      <c r="BI1131" s="8">
        <v>10.6</v>
      </c>
      <c r="BJ1131" s="8">
        <v>14.1</v>
      </c>
      <c r="BK1131" s="8">
        <v>13.3</v>
      </c>
      <c r="BL1131" s="8">
        <v>8.6999999999999993</v>
      </c>
      <c r="BM1131" s="8">
        <v>5.3</v>
      </c>
      <c r="BN1131" s="8">
        <v>2.6</v>
      </c>
      <c r="BO1131" s="8">
        <v>1.8</v>
      </c>
      <c r="BP1131" s="7">
        <v>6</v>
      </c>
    </row>
    <row r="1132" spans="1:68" ht="14.25" customHeight="1">
      <c r="A1132" s="12">
        <v>475</v>
      </c>
      <c r="B1132" s="14">
        <v>304</v>
      </c>
      <c r="C1132" s="13" t="s">
        <v>30</v>
      </c>
      <c r="D1132" s="13" t="s">
        <v>613</v>
      </c>
      <c r="E1132" s="13" t="s">
        <v>610</v>
      </c>
      <c r="F1132" s="11">
        <v>-9.4</v>
      </c>
      <c r="G1132" s="11">
        <v>-8.4</v>
      </c>
      <c r="H1132" s="11">
        <v>-4</v>
      </c>
      <c r="I1132" s="11">
        <v>4.4000000000000004</v>
      </c>
      <c r="J1132" s="11">
        <v>11.6</v>
      </c>
      <c r="K1132" s="11">
        <v>15.7</v>
      </c>
      <c r="L1132" s="11">
        <v>17.100000000000001</v>
      </c>
      <c r="M1132" s="11">
        <v>15.9</v>
      </c>
      <c r="N1132" s="11">
        <v>10.4</v>
      </c>
      <c r="O1132" s="11">
        <v>4.5</v>
      </c>
      <c r="P1132" s="11">
        <v>-1</v>
      </c>
      <c r="Q1132" s="11">
        <v>-5.8</v>
      </c>
      <c r="R1132" s="10">
        <v>4.3</v>
      </c>
      <c r="S1132" s="12">
        <v>304</v>
      </c>
      <c r="T1132" s="8" t="s">
        <v>612</v>
      </c>
      <c r="U1132" s="11">
        <v>-34</v>
      </c>
      <c r="V1132" s="11">
        <v>-31</v>
      </c>
      <c r="W1132" s="11">
        <v>-28</v>
      </c>
      <c r="X1132" s="11">
        <v>-26</v>
      </c>
      <c r="Y1132" s="11">
        <v>-14</v>
      </c>
      <c r="Z1132" s="11">
        <v>-41</v>
      </c>
      <c r="AA1132" s="11">
        <v>6.1</v>
      </c>
      <c r="AB1132" s="11">
        <v>141</v>
      </c>
      <c r="AC1132" s="11">
        <v>-5.8</v>
      </c>
      <c r="AD1132" s="11">
        <v>215</v>
      </c>
      <c r="AE1132" s="11">
        <v>-2.4</v>
      </c>
      <c r="AF1132" s="11">
        <v>234</v>
      </c>
      <c r="AG1132" s="11">
        <v>-1.5</v>
      </c>
      <c r="AH1132" s="11">
        <v>86</v>
      </c>
      <c r="AI1132" s="11">
        <v>81</v>
      </c>
      <c r="AJ1132" s="11">
        <v>234</v>
      </c>
      <c r="AK1132" s="11" t="s">
        <v>34</v>
      </c>
      <c r="AL1132" s="11">
        <v>6.8</v>
      </c>
      <c r="AM1132" s="10">
        <v>5</v>
      </c>
      <c r="AN1132" s="9">
        <v>304</v>
      </c>
      <c r="AO1132" s="8" t="s">
        <v>611</v>
      </c>
      <c r="AP1132" s="8">
        <v>985</v>
      </c>
      <c r="AQ1132" s="8">
        <v>20.8</v>
      </c>
      <c r="AR1132" s="8">
        <v>24.3</v>
      </c>
      <c r="AS1132" s="8">
        <v>22.3</v>
      </c>
      <c r="AT1132" s="8">
        <v>35</v>
      </c>
      <c r="AU1132" s="8">
        <v>10.199999999999999</v>
      </c>
      <c r="AV1132" s="8">
        <v>77</v>
      </c>
      <c r="AW1132" s="8">
        <v>62</v>
      </c>
      <c r="AX1132" s="8">
        <v>457</v>
      </c>
      <c r="AY1132" s="8">
        <v>67</v>
      </c>
      <c r="AZ1132" s="8" t="s">
        <v>54</v>
      </c>
      <c r="BA1132" s="7">
        <v>3.2</v>
      </c>
      <c r="BB1132" s="9">
        <v>274</v>
      </c>
      <c r="BC1132" s="8" t="s">
        <v>610</v>
      </c>
      <c r="BD1132" s="8">
        <v>3</v>
      </c>
      <c r="BE1132" s="8">
        <v>3.1</v>
      </c>
      <c r="BF1132" s="8">
        <v>4.0999999999999996</v>
      </c>
      <c r="BG1132" s="8">
        <v>6.5</v>
      </c>
      <c r="BH1132" s="8">
        <v>9.6999999999999993</v>
      </c>
      <c r="BI1132" s="8">
        <v>12.9</v>
      </c>
      <c r="BJ1132" s="8">
        <v>14.9</v>
      </c>
      <c r="BK1132" s="8">
        <v>14.2</v>
      </c>
      <c r="BL1132" s="8">
        <v>10.7</v>
      </c>
      <c r="BM1132" s="8">
        <v>7.5</v>
      </c>
      <c r="BN1132" s="8">
        <v>5.5</v>
      </c>
      <c r="BO1132" s="8">
        <v>4</v>
      </c>
      <c r="BP1132" s="7">
        <v>8</v>
      </c>
    </row>
    <row r="1133" spans="1:68" ht="14.25" customHeight="1">
      <c r="A1133" s="12">
        <v>476</v>
      </c>
      <c r="B1133" s="14">
        <v>124</v>
      </c>
      <c r="C1133" s="13" t="s">
        <v>30</v>
      </c>
      <c r="D1133" s="13" t="s">
        <v>293</v>
      </c>
      <c r="E1133" s="13" t="s">
        <v>607</v>
      </c>
      <c r="F1133" s="11">
        <v>-14</v>
      </c>
      <c r="G1133" s="11">
        <v>-14.1</v>
      </c>
      <c r="H1133" s="11">
        <v>-10</v>
      </c>
      <c r="I1133" s="11">
        <v>-3.3</v>
      </c>
      <c r="J1133" s="11">
        <v>2.6</v>
      </c>
      <c r="K1133" s="11">
        <v>7.4</v>
      </c>
      <c r="L1133" s="11">
        <v>11.2</v>
      </c>
      <c r="M1133" s="11">
        <v>11.9</v>
      </c>
      <c r="N1133" s="11">
        <v>8.5</v>
      </c>
      <c r="O1133" s="11">
        <v>2.7</v>
      </c>
      <c r="P1133" s="11">
        <v>-5.6</v>
      </c>
      <c r="Q1133" s="11">
        <v>-10.9</v>
      </c>
      <c r="R1133" s="10">
        <v>-1.1000000000000001</v>
      </c>
      <c r="S1133" s="12">
        <v>124</v>
      </c>
      <c r="T1133" s="8" t="s">
        <v>609</v>
      </c>
      <c r="U1133" s="11">
        <v>-36</v>
      </c>
      <c r="V1133" s="11">
        <v>-34</v>
      </c>
      <c r="W1133" s="11">
        <v>-32</v>
      </c>
      <c r="X1133" s="11">
        <v>-30</v>
      </c>
      <c r="Y1133" s="11">
        <v>-19</v>
      </c>
      <c r="Z1133" s="11">
        <v>-45</v>
      </c>
      <c r="AA1133" s="11">
        <v>13.5</v>
      </c>
      <c r="AB1133" s="11">
        <v>189</v>
      </c>
      <c r="AC1133" s="11">
        <v>-9</v>
      </c>
      <c r="AD1133" s="11">
        <v>275</v>
      </c>
      <c r="AE1133" s="11">
        <v>-4.8</v>
      </c>
      <c r="AF1133" s="11">
        <v>307</v>
      </c>
      <c r="AG1133" s="11">
        <v>-3.4</v>
      </c>
      <c r="AH1133" s="11">
        <v>80</v>
      </c>
      <c r="AI1133" s="11">
        <v>71</v>
      </c>
      <c r="AJ1133" s="11">
        <v>331</v>
      </c>
      <c r="AK1133" s="11" t="s">
        <v>199</v>
      </c>
      <c r="AL1133" s="11">
        <v>3.8</v>
      </c>
      <c r="AM1133" s="10" t="s">
        <v>44</v>
      </c>
      <c r="AN1133" s="9">
        <v>124</v>
      </c>
      <c r="AO1133" s="8" t="s">
        <v>608</v>
      </c>
      <c r="AP1133" s="8">
        <v>1010</v>
      </c>
      <c r="AQ1133" s="8">
        <v>13.9</v>
      </c>
      <c r="AR1133" s="8">
        <v>18.5</v>
      </c>
      <c r="AS1133" s="8">
        <v>16.3</v>
      </c>
      <c r="AT1133" s="8">
        <v>29</v>
      </c>
      <c r="AU1133" s="8">
        <v>7.8</v>
      </c>
      <c r="AV1133" s="8">
        <v>91</v>
      </c>
      <c r="AW1133" s="8">
        <v>81</v>
      </c>
      <c r="AX1133" s="8">
        <v>693</v>
      </c>
      <c r="AY1133" s="8">
        <v>92</v>
      </c>
      <c r="AZ1133" s="8" t="s">
        <v>151</v>
      </c>
      <c r="BA1133" s="7" t="s">
        <v>46</v>
      </c>
      <c r="BB1133" s="9">
        <v>108</v>
      </c>
      <c r="BC1133" s="8" t="s">
        <v>607</v>
      </c>
      <c r="BD1133" s="8">
        <v>1.9</v>
      </c>
      <c r="BE1133" s="8">
        <v>1.9</v>
      </c>
      <c r="BF1133" s="8">
        <v>2.5</v>
      </c>
      <c r="BG1133" s="8">
        <v>4.0999999999999996</v>
      </c>
      <c r="BH1133" s="8">
        <v>6.2</v>
      </c>
      <c r="BI1133" s="8">
        <v>8.9</v>
      </c>
      <c r="BJ1133" s="8">
        <v>12</v>
      </c>
      <c r="BK1133" s="8">
        <v>12.7</v>
      </c>
      <c r="BL1133" s="8">
        <v>9.8000000000000007</v>
      </c>
      <c r="BM1133" s="8">
        <v>6.4</v>
      </c>
      <c r="BN1133" s="8">
        <v>3.7</v>
      </c>
      <c r="BO1133" s="8">
        <v>2.5</v>
      </c>
      <c r="BP1133" s="7">
        <v>6.1</v>
      </c>
    </row>
    <row r="1134" spans="1:68" ht="14.25" customHeight="1">
      <c r="A1134" s="12">
        <v>477</v>
      </c>
      <c r="B1134" s="14">
        <v>363</v>
      </c>
      <c r="C1134" s="13" t="s">
        <v>30</v>
      </c>
      <c r="D1134" s="13" t="s">
        <v>86</v>
      </c>
      <c r="E1134" s="13" t="s">
        <v>604</v>
      </c>
      <c r="F1134" s="11">
        <v>-18</v>
      </c>
      <c r="G1134" s="11">
        <v>-14.7</v>
      </c>
      <c r="H1134" s="11">
        <v>-8</v>
      </c>
      <c r="I1134" s="11">
        <v>0.2</v>
      </c>
      <c r="J1134" s="11">
        <v>5.0999999999999996</v>
      </c>
      <c r="K1134" s="11">
        <v>9.9</v>
      </c>
      <c r="L1134" s="11">
        <v>14.3</v>
      </c>
      <c r="M1134" s="11">
        <v>16.399999999999999</v>
      </c>
      <c r="N1134" s="11">
        <v>12.6</v>
      </c>
      <c r="O1134" s="11">
        <v>4.8</v>
      </c>
      <c r="P1134" s="11">
        <v>-5.4</v>
      </c>
      <c r="Q1134" s="11">
        <v>-13.8</v>
      </c>
      <c r="R1134" s="10">
        <v>0.3</v>
      </c>
      <c r="S1134" s="12">
        <v>363</v>
      </c>
      <c r="T1134" s="8" t="s">
        <v>606</v>
      </c>
      <c r="U1134" s="11">
        <v>-32</v>
      </c>
      <c r="V1134" s="11">
        <v>-30</v>
      </c>
      <c r="W1134" s="11">
        <v>-29</v>
      </c>
      <c r="X1134" s="11">
        <v>-27</v>
      </c>
      <c r="Y1134" s="11">
        <v>-23</v>
      </c>
      <c r="Z1134" s="11">
        <v>-40</v>
      </c>
      <c r="AA1134" s="11">
        <v>11.3</v>
      </c>
      <c r="AB1134" s="11">
        <v>166</v>
      </c>
      <c r="AC1134" s="11">
        <v>-10.6</v>
      </c>
      <c r="AD1134" s="11">
        <v>243</v>
      </c>
      <c r="AE1134" s="11">
        <v>-6</v>
      </c>
      <c r="AF1134" s="11">
        <v>264</v>
      </c>
      <c r="AG1134" s="11">
        <v>-4.8</v>
      </c>
      <c r="AH1134" s="11">
        <v>70</v>
      </c>
      <c r="AI1134" s="11">
        <v>58</v>
      </c>
      <c r="AJ1134" s="11">
        <v>208</v>
      </c>
      <c r="AK1134" s="11" t="s">
        <v>39</v>
      </c>
      <c r="AL1134" s="11" t="s">
        <v>44</v>
      </c>
      <c r="AM1134" s="10" t="s">
        <v>44</v>
      </c>
      <c r="AN1134" s="9">
        <v>363</v>
      </c>
      <c r="AO1134" s="8" t="s">
        <v>605</v>
      </c>
      <c r="AP1134" s="8">
        <v>1010</v>
      </c>
      <c r="AQ1134" s="8">
        <v>19.2</v>
      </c>
      <c r="AR1134" s="8">
        <v>23.5</v>
      </c>
      <c r="AS1134" s="8">
        <v>21.6</v>
      </c>
      <c r="AT1134" s="8">
        <v>39</v>
      </c>
      <c r="AU1134" s="8">
        <v>9.1999999999999993</v>
      </c>
      <c r="AV1134" s="8">
        <v>86</v>
      </c>
      <c r="AW1134" s="8">
        <v>71</v>
      </c>
      <c r="AX1134" s="8">
        <v>641</v>
      </c>
      <c r="AY1134" s="8">
        <v>140</v>
      </c>
      <c r="AZ1134" s="8" t="s">
        <v>37</v>
      </c>
      <c r="BA1134" s="7" t="s">
        <v>46</v>
      </c>
      <c r="BB1134" s="9">
        <v>328</v>
      </c>
      <c r="BC1134" s="8" t="s">
        <v>604</v>
      </c>
      <c r="BD1134" s="8">
        <v>1.1000000000000001</v>
      </c>
      <c r="BE1134" s="8">
        <v>1.6</v>
      </c>
      <c r="BF1134" s="8">
        <v>2.6</v>
      </c>
      <c r="BG1134" s="8">
        <v>4.7</v>
      </c>
      <c r="BH1134" s="8">
        <v>7</v>
      </c>
      <c r="BI1134" s="8">
        <v>10.3</v>
      </c>
      <c r="BJ1134" s="8">
        <v>14.2</v>
      </c>
      <c r="BK1134" s="8">
        <v>16</v>
      </c>
      <c r="BL1134" s="8">
        <v>11.9</v>
      </c>
      <c r="BM1134" s="8">
        <v>6.3</v>
      </c>
      <c r="BN1134" s="8">
        <v>2.9</v>
      </c>
      <c r="BO1134" s="8">
        <v>1.6</v>
      </c>
      <c r="BP1134" s="7">
        <v>6.7</v>
      </c>
    </row>
    <row r="1135" spans="1:68" ht="14.25" customHeight="1">
      <c r="A1135" s="12">
        <v>478</v>
      </c>
      <c r="B1135" s="14">
        <v>247</v>
      </c>
      <c r="C1135" s="13" t="s">
        <v>30</v>
      </c>
      <c r="D1135" s="13" t="s">
        <v>603</v>
      </c>
      <c r="E1135" s="13" t="s">
        <v>600</v>
      </c>
      <c r="F1135" s="11">
        <v>-14.4</v>
      </c>
      <c r="G1135" s="11">
        <v>-13.5</v>
      </c>
      <c r="H1135" s="11">
        <v>-6.6</v>
      </c>
      <c r="I1135" s="11">
        <v>5.8</v>
      </c>
      <c r="J1135" s="11">
        <v>14.6</v>
      </c>
      <c r="K1135" s="11">
        <v>19.2</v>
      </c>
      <c r="L1135" s="11">
        <v>21</v>
      </c>
      <c r="M1135" s="11">
        <v>19.600000000000001</v>
      </c>
      <c r="N1135" s="11">
        <v>13.1</v>
      </c>
      <c r="O1135" s="11">
        <v>4.0999999999999996</v>
      </c>
      <c r="P1135" s="11">
        <v>-3.8</v>
      </c>
      <c r="Q1135" s="11">
        <v>-10.4</v>
      </c>
      <c r="R1135" s="10">
        <v>4.0999999999999996</v>
      </c>
      <c r="S1135" s="12">
        <v>247</v>
      </c>
      <c r="T1135" s="8" t="s">
        <v>602</v>
      </c>
      <c r="U1135" s="11">
        <v>-36</v>
      </c>
      <c r="V1135" s="11">
        <v>-34</v>
      </c>
      <c r="W1135" s="11">
        <v>-33</v>
      </c>
      <c r="X1135" s="11">
        <v>-29</v>
      </c>
      <c r="Y1135" s="11">
        <v>-20</v>
      </c>
      <c r="Z1135" s="11">
        <v>-43</v>
      </c>
      <c r="AA1135" s="11">
        <v>8.1</v>
      </c>
      <c r="AB1135" s="11">
        <v>153</v>
      </c>
      <c r="AC1135" s="11">
        <v>-9.6</v>
      </c>
      <c r="AD1135" s="11">
        <v>201</v>
      </c>
      <c r="AE1135" s="11">
        <v>-6.3</v>
      </c>
      <c r="AF1135" s="11">
        <v>215</v>
      </c>
      <c r="AG1135" s="11">
        <v>-5.3</v>
      </c>
      <c r="AH1135" s="11">
        <v>81</v>
      </c>
      <c r="AI1135" s="11">
        <v>79</v>
      </c>
      <c r="AJ1135" s="11">
        <v>116</v>
      </c>
      <c r="AK1135" s="11" t="s">
        <v>27</v>
      </c>
      <c r="AL1135" s="11">
        <v>7.6</v>
      </c>
      <c r="AM1135" s="10">
        <v>4.0999999999999996</v>
      </c>
      <c r="AN1135" s="9">
        <v>247</v>
      </c>
      <c r="AO1135" s="8" t="s">
        <v>601</v>
      </c>
      <c r="AP1135" s="8">
        <v>1000</v>
      </c>
      <c r="AQ1135" s="8">
        <v>27</v>
      </c>
      <c r="AR1135" s="8">
        <v>32</v>
      </c>
      <c r="AS1135" s="8">
        <v>27.9</v>
      </c>
      <c r="AT1135" s="8">
        <v>41</v>
      </c>
      <c r="AU1135" s="8">
        <v>13.3</v>
      </c>
      <c r="AV1135" s="8">
        <v>59</v>
      </c>
      <c r="AW1135" s="8">
        <v>41</v>
      </c>
      <c r="AX1135" s="8">
        <v>250</v>
      </c>
      <c r="AY1135" s="8" t="s">
        <v>64</v>
      </c>
      <c r="AZ1135" s="8" t="s">
        <v>54</v>
      </c>
      <c r="BA1135" s="7">
        <v>0</v>
      </c>
      <c r="BB1135" s="9">
        <v>218</v>
      </c>
      <c r="BC1135" s="8" t="s">
        <v>600</v>
      </c>
      <c r="BD1135" s="8">
        <v>2</v>
      </c>
      <c r="BE1135" s="8">
        <v>2.1</v>
      </c>
      <c r="BF1135" s="8">
        <v>3.5</v>
      </c>
      <c r="BG1135" s="8">
        <v>6.3</v>
      </c>
      <c r="BH1135" s="8">
        <v>8.6</v>
      </c>
      <c r="BI1135" s="8">
        <v>12</v>
      </c>
      <c r="BJ1135" s="8">
        <v>14.2</v>
      </c>
      <c r="BK1135" s="8">
        <v>12.2</v>
      </c>
      <c r="BL1135" s="8">
        <v>9</v>
      </c>
      <c r="BM1135" s="8">
        <v>6.2</v>
      </c>
      <c r="BN1135" s="8">
        <v>4.4000000000000004</v>
      </c>
      <c r="BO1135" s="8">
        <v>2.8</v>
      </c>
      <c r="BP1135" s="7">
        <v>6.9</v>
      </c>
    </row>
    <row r="1136" spans="1:68" ht="14.25" customHeight="1">
      <c r="A1136" s="12">
        <v>479</v>
      </c>
      <c r="B1136" s="14">
        <v>138</v>
      </c>
      <c r="C1136" s="13" t="s">
        <v>30</v>
      </c>
      <c r="D1136" s="13" t="s">
        <v>599</v>
      </c>
      <c r="E1136" s="13" t="s">
        <v>595</v>
      </c>
      <c r="F1136" s="11">
        <v>-9</v>
      </c>
      <c r="G1136" s="11">
        <v>-9.6</v>
      </c>
      <c r="H1136" s="11">
        <v>-5.5</v>
      </c>
      <c r="I1136" s="11">
        <v>1.4</v>
      </c>
      <c r="J1136" s="11" t="s">
        <v>598</v>
      </c>
      <c r="K1136" s="11">
        <v>13.7</v>
      </c>
      <c r="L1136" s="11">
        <v>16.7</v>
      </c>
      <c r="M1136" s="11">
        <v>14.8</v>
      </c>
      <c r="N1136" s="11">
        <v>9.4</v>
      </c>
      <c r="O1136" s="11">
        <v>3.8</v>
      </c>
      <c r="P1136" s="11">
        <v>-1.3</v>
      </c>
      <c r="Q1136" s="11">
        <v>-6.1</v>
      </c>
      <c r="R1136" s="10">
        <v>3</v>
      </c>
      <c r="S1136" s="12">
        <v>138</v>
      </c>
      <c r="T1136" s="8" t="s">
        <v>597</v>
      </c>
      <c r="U1136" s="11">
        <v>-36</v>
      </c>
      <c r="V1136" s="11">
        <v>-33</v>
      </c>
      <c r="W1136" s="11">
        <v>-31</v>
      </c>
      <c r="X1136" s="11">
        <v>-29</v>
      </c>
      <c r="Y1136" s="11">
        <v>-15</v>
      </c>
      <c r="Z1136" s="11">
        <v>-41</v>
      </c>
      <c r="AA1136" s="11">
        <v>7.1</v>
      </c>
      <c r="AB1136" s="11">
        <v>155</v>
      </c>
      <c r="AC1136" s="11">
        <v>-6.1</v>
      </c>
      <c r="AD1136" s="11">
        <v>237</v>
      </c>
      <c r="AE1136" s="11">
        <v>-2.6</v>
      </c>
      <c r="AF1136" s="11">
        <v>257</v>
      </c>
      <c r="AG1136" s="11">
        <v>-1.7</v>
      </c>
      <c r="AH1136" s="11">
        <v>85</v>
      </c>
      <c r="AI1136" s="11">
        <v>84</v>
      </c>
      <c r="AJ1136" s="11">
        <v>211</v>
      </c>
      <c r="AK1136" s="11" t="s">
        <v>34</v>
      </c>
      <c r="AL1136" s="11" t="s">
        <v>44</v>
      </c>
      <c r="AM1136" s="10">
        <v>3.3</v>
      </c>
      <c r="AN1136" s="9">
        <v>138</v>
      </c>
      <c r="AO1136" s="8" t="s">
        <v>596</v>
      </c>
      <c r="AP1136" s="8">
        <v>1010</v>
      </c>
      <c r="AQ1136" s="8">
        <v>19</v>
      </c>
      <c r="AR1136" s="8">
        <v>24</v>
      </c>
      <c r="AS1136" s="8">
        <v>21.7</v>
      </c>
      <c r="AT1136" s="8">
        <v>34</v>
      </c>
      <c r="AU1136" s="8">
        <v>9.9</v>
      </c>
      <c r="AV1136" s="8">
        <v>73</v>
      </c>
      <c r="AW1136" s="8">
        <v>59</v>
      </c>
      <c r="AX1136" s="8">
        <v>382</v>
      </c>
      <c r="AY1136" s="8">
        <v>49</v>
      </c>
      <c r="AZ1136" s="8" t="s">
        <v>151</v>
      </c>
      <c r="BA1136" s="7" t="s">
        <v>46</v>
      </c>
      <c r="BB1136" s="9">
        <v>121</v>
      </c>
      <c r="BC1136" s="8" t="s">
        <v>595</v>
      </c>
      <c r="BD1136" s="8">
        <v>3</v>
      </c>
      <c r="BE1136" s="8">
        <v>2.8</v>
      </c>
      <c r="BF1136" s="8">
        <v>3.5</v>
      </c>
      <c r="BG1136" s="8">
        <v>5.0999999999999996</v>
      </c>
      <c r="BH1136" s="8">
        <v>7.2</v>
      </c>
      <c r="BI1136" s="8">
        <v>10.8</v>
      </c>
      <c r="BJ1136" s="8">
        <v>13.5</v>
      </c>
      <c r="BK1136" s="8">
        <v>13.4</v>
      </c>
      <c r="BL1136" s="8">
        <v>10.199999999999999</v>
      </c>
      <c r="BM1136" s="8">
        <v>7.1</v>
      </c>
      <c r="BN1136" s="8">
        <v>5.2</v>
      </c>
      <c r="BO1136" s="8">
        <v>3.9</v>
      </c>
      <c r="BP1136" s="7">
        <v>7.1</v>
      </c>
    </row>
    <row r="1137" spans="1:68" ht="14.25" customHeight="1">
      <c r="A1137" s="12">
        <v>480</v>
      </c>
      <c r="B1137" s="14">
        <v>60</v>
      </c>
      <c r="C1137" s="13" t="s">
        <v>30</v>
      </c>
      <c r="D1137" s="13" t="s">
        <v>237</v>
      </c>
      <c r="E1137" s="13" t="s">
        <v>592</v>
      </c>
      <c r="F1137" s="11">
        <v>-24.7</v>
      </c>
      <c r="G1137" s="11">
        <v>-21.8</v>
      </c>
      <c r="H1137" s="11">
        <v>-13.2</v>
      </c>
      <c r="I1137" s="11">
        <v>-2.9</v>
      </c>
      <c r="J1137" s="11">
        <v>4.7</v>
      </c>
      <c r="K1137" s="11">
        <v>13.5</v>
      </c>
      <c r="L1137" s="11">
        <v>16.399999999999999</v>
      </c>
      <c r="M1137" s="11">
        <v>13.6</v>
      </c>
      <c r="N1137" s="11">
        <v>6.4</v>
      </c>
      <c r="O1137" s="11">
        <v>-2.6</v>
      </c>
      <c r="P1137" s="11">
        <v>-14.2</v>
      </c>
      <c r="Q1137" s="11">
        <v>-21.7</v>
      </c>
      <c r="R1137" s="10">
        <v>-3.9</v>
      </c>
      <c r="S1137" s="12">
        <v>60</v>
      </c>
      <c r="T1137" s="8" t="s">
        <v>594</v>
      </c>
      <c r="U1137" s="11">
        <v>-42</v>
      </c>
      <c r="V1137" s="11">
        <v>-40</v>
      </c>
      <c r="W1137" s="11">
        <v>-41</v>
      </c>
      <c r="X1137" s="11">
        <v>-38</v>
      </c>
      <c r="Y1137" s="11">
        <v>-30</v>
      </c>
      <c r="Z1137" s="11">
        <v>-48</v>
      </c>
      <c r="AA1137" s="11">
        <v>11.4</v>
      </c>
      <c r="AB1137" s="11">
        <v>202</v>
      </c>
      <c r="AC1137" s="11">
        <v>-14.8</v>
      </c>
      <c r="AD1137" s="11">
        <v>261</v>
      </c>
      <c r="AE1137" s="11">
        <v>-10.6</v>
      </c>
      <c r="AF1137" s="11">
        <v>276</v>
      </c>
      <c r="AG1137" s="11">
        <v>-9.5</v>
      </c>
      <c r="AH1137" s="11">
        <v>75</v>
      </c>
      <c r="AI1137" s="11">
        <v>73</v>
      </c>
      <c r="AJ1137" s="11">
        <v>23</v>
      </c>
      <c r="AK1137" s="11" t="s">
        <v>39</v>
      </c>
      <c r="AL1137" s="11" t="s">
        <v>44</v>
      </c>
      <c r="AM1137" s="10">
        <v>3.7</v>
      </c>
      <c r="AN1137" s="9">
        <v>60</v>
      </c>
      <c r="AO1137" s="8" t="s">
        <v>593</v>
      </c>
      <c r="AP1137" s="8">
        <v>905</v>
      </c>
      <c r="AQ1137" s="8">
        <v>20.399999999999999</v>
      </c>
      <c r="AR1137" s="8">
        <v>24.7</v>
      </c>
      <c r="AS1137" s="8">
        <v>22.8</v>
      </c>
      <c r="AT1137" s="8">
        <v>37</v>
      </c>
      <c r="AU1137" s="8">
        <v>12.8</v>
      </c>
      <c r="AV1137" s="8">
        <v>73</v>
      </c>
      <c r="AW1137" s="8">
        <v>59</v>
      </c>
      <c r="AX1137" s="8">
        <v>302</v>
      </c>
      <c r="AY1137" s="8">
        <v>59</v>
      </c>
      <c r="AZ1137" s="8" t="s">
        <v>43</v>
      </c>
      <c r="BA1137" s="7" t="s">
        <v>46</v>
      </c>
      <c r="BB1137" s="9">
        <v>46</v>
      </c>
      <c r="BC1137" s="8" t="s">
        <v>592</v>
      </c>
      <c r="BD1137" s="8">
        <v>0.7</v>
      </c>
      <c r="BE1137" s="8">
        <v>0.9</v>
      </c>
      <c r="BF1137" s="8">
        <v>1.6</v>
      </c>
      <c r="BG1137" s="8">
        <v>2.9</v>
      </c>
      <c r="BH1137" s="8">
        <v>4.8</v>
      </c>
      <c r="BI1137" s="8">
        <v>9.5</v>
      </c>
      <c r="BJ1137" s="8">
        <v>13.5</v>
      </c>
      <c r="BK1137" s="8">
        <v>11.7</v>
      </c>
      <c r="BL1137" s="8">
        <v>6.8</v>
      </c>
      <c r="BM1137" s="8">
        <v>3.5</v>
      </c>
      <c r="BN1137" s="8">
        <v>1.7</v>
      </c>
      <c r="BO1137" s="8">
        <v>1</v>
      </c>
      <c r="BP1137" s="7">
        <v>4.9000000000000004</v>
      </c>
    </row>
    <row r="1138" spans="1:68" ht="14.25" customHeight="1">
      <c r="A1138" s="12">
        <v>481</v>
      </c>
      <c r="B1138" s="14">
        <v>269</v>
      </c>
      <c r="C1138" s="13" t="s">
        <v>30</v>
      </c>
      <c r="D1138" s="13" t="s">
        <v>154</v>
      </c>
      <c r="E1138" s="13" t="s">
        <v>589</v>
      </c>
      <c r="F1138" s="11">
        <v>-13.4</v>
      </c>
      <c r="G1138" s="11">
        <v>-10.9</v>
      </c>
      <c r="H1138" s="11">
        <v>-4.8</v>
      </c>
      <c r="I1138" s="11">
        <v>1.4</v>
      </c>
      <c r="J1138" s="11">
        <v>5.4</v>
      </c>
      <c r="K1138" s="11">
        <v>9.1</v>
      </c>
      <c r="L1138" s="11">
        <v>13.8</v>
      </c>
      <c r="M1138" s="11">
        <v>16.3</v>
      </c>
      <c r="N1138" s="11">
        <v>12.8</v>
      </c>
      <c r="O1138" s="11">
        <v>6.1</v>
      </c>
      <c r="P1138" s="11">
        <v>-3.3</v>
      </c>
      <c r="Q1138" s="11">
        <v>-11.2</v>
      </c>
      <c r="R1138" s="10">
        <v>1.8</v>
      </c>
      <c r="S1138" s="12">
        <v>269</v>
      </c>
      <c r="T1138" s="8" t="s">
        <v>591</v>
      </c>
      <c r="U1138" s="11">
        <v>-26</v>
      </c>
      <c r="V1138" s="11">
        <v>-24</v>
      </c>
      <c r="W1138" s="11">
        <v>-23</v>
      </c>
      <c r="X1138" s="11">
        <v>-22</v>
      </c>
      <c r="Y1138" s="11">
        <v>-14</v>
      </c>
      <c r="Z1138" s="11">
        <v>-30</v>
      </c>
      <c r="AA1138" s="11">
        <v>9.4</v>
      </c>
      <c r="AB1138" s="11">
        <v>153</v>
      </c>
      <c r="AC1138" s="11">
        <v>-8.6999999999999993</v>
      </c>
      <c r="AD1138" s="11">
        <v>245</v>
      </c>
      <c r="AE1138" s="11">
        <v>-3.8</v>
      </c>
      <c r="AF1138" s="11">
        <v>266</v>
      </c>
      <c r="AG1138" s="11">
        <v>-2.7</v>
      </c>
      <c r="AH1138" s="11">
        <v>53</v>
      </c>
      <c r="AI1138" s="11">
        <v>47</v>
      </c>
      <c r="AJ1138" s="11">
        <v>76</v>
      </c>
      <c r="AK1138" s="11" t="s">
        <v>48</v>
      </c>
      <c r="AL1138" s="11" t="s">
        <v>44</v>
      </c>
      <c r="AM1138" s="10">
        <v>6.9</v>
      </c>
      <c r="AN1138" s="9">
        <v>269</v>
      </c>
      <c r="AO1138" s="8" t="s">
        <v>590</v>
      </c>
      <c r="AP1138" s="8">
        <v>1010</v>
      </c>
      <c r="AQ1138" s="8">
        <v>18</v>
      </c>
      <c r="AR1138" s="8">
        <v>22</v>
      </c>
      <c r="AS1138" s="8">
        <v>19.8</v>
      </c>
      <c r="AT1138" s="8">
        <v>35</v>
      </c>
      <c r="AU1138" s="8">
        <v>6.2</v>
      </c>
      <c r="AV1138" s="8">
        <v>89</v>
      </c>
      <c r="AW1138" s="8">
        <v>79</v>
      </c>
      <c r="AX1138" s="8">
        <v>509</v>
      </c>
      <c r="AY1138" s="8">
        <v>257</v>
      </c>
      <c r="AZ1138" s="8" t="s">
        <v>151</v>
      </c>
      <c r="BA1138" s="7" t="s">
        <v>46</v>
      </c>
      <c r="BB1138" s="9">
        <v>240</v>
      </c>
      <c r="BC1138" s="8" t="s">
        <v>589</v>
      </c>
      <c r="BD1138" s="8">
        <v>1.3</v>
      </c>
      <c r="BE1138" s="8">
        <v>1.7</v>
      </c>
      <c r="BF1138" s="8">
        <v>2.9</v>
      </c>
      <c r="BG1138" s="8">
        <v>4.8</v>
      </c>
      <c r="BH1138" s="8">
        <v>7</v>
      </c>
      <c r="BI1138" s="8">
        <v>10.4</v>
      </c>
      <c r="BJ1138" s="8">
        <v>14.6</v>
      </c>
      <c r="BK1138" s="8">
        <v>16.399999999999999</v>
      </c>
      <c r="BL1138" s="8">
        <v>12.1</v>
      </c>
      <c r="BM1138" s="8">
        <v>6.3</v>
      </c>
      <c r="BN1138" s="8">
        <v>2.9</v>
      </c>
      <c r="BO1138" s="8">
        <v>1.5</v>
      </c>
      <c r="BP1138" s="7">
        <v>6.8</v>
      </c>
    </row>
    <row r="1139" spans="1:68" ht="14.25" customHeight="1">
      <c r="A1139" s="12">
        <v>482</v>
      </c>
      <c r="B1139" s="14">
        <v>332</v>
      </c>
      <c r="C1139" s="13" t="s">
        <v>30</v>
      </c>
      <c r="D1139" s="13" t="s">
        <v>259</v>
      </c>
      <c r="E1139" s="13" t="s">
        <v>586</v>
      </c>
      <c r="F1139" s="11">
        <v>-22.7</v>
      </c>
      <c r="G1139" s="11">
        <v>-20.399999999999999</v>
      </c>
      <c r="H1139" s="11">
        <v>-12</v>
      </c>
      <c r="I1139" s="11">
        <v>-1.8</v>
      </c>
      <c r="J1139" s="11">
        <v>5.2</v>
      </c>
      <c r="K1139" s="11">
        <v>12.3</v>
      </c>
      <c r="L1139" s="11">
        <v>16.100000000000001</v>
      </c>
      <c r="M1139" s="11">
        <v>12.8</v>
      </c>
      <c r="N1139" s="11">
        <v>6.6</v>
      </c>
      <c r="O1139" s="11">
        <v>-2.5</v>
      </c>
      <c r="P1139" s="11">
        <v>-12.8</v>
      </c>
      <c r="Q1139" s="11">
        <v>-20.2</v>
      </c>
      <c r="R1139" s="10">
        <v>-3.3</v>
      </c>
      <c r="S1139" s="12">
        <v>332</v>
      </c>
      <c r="T1139" s="8" t="s">
        <v>588</v>
      </c>
      <c r="U1139" s="11">
        <v>-51</v>
      </c>
      <c r="V1139" s="11">
        <v>-48</v>
      </c>
      <c r="W1139" s="11">
        <v>-49</v>
      </c>
      <c r="X1139" s="11">
        <v>-44</v>
      </c>
      <c r="Y1139" s="11">
        <v>-28</v>
      </c>
      <c r="Z1139" s="11">
        <v>-55</v>
      </c>
      <c r="AA1139" s="11">
        <v>11.3</v>
      </c>
      <c r="AB1139" s="11">
        <v>198</v>
      </c>
      <c r="AC1139" s="11">
        <v>-13.9</v>
      </c>
      <c r="AD1139" s="11">
        <v>261</v>
      </c>
      <c r="AE1139" s="11">
        <v>-9.5</v>
      </c>
      <c r="AF1139" s="11">
        <v>280</v>
      </c>
      <c r="AG1139" s="11">
        <v>-8.3000000000000007</v>
      </c>
      <c r="AH1139" s="11">
        <v>80</v>
      </c>
      <c r="AI1139" s="11">
        <v>80</v>
      </c>
      <c r="AJ1139" s="11">
        <v>127</v>
      </c>
      <c r="AK1139" s="11" t="s">
        <v>27</v>
      </c>
      <c r="AL1139" s="11" t="s">
        <v>44</v>
      </c>
      <c r="AM1139" s="10" t="s">
        <v>44</v>
      </c>
      <c r="AN1139" s="9">
        <v>332</v>
      </c>
      <c r="AO1139" s="8" t="s">
        <v>587</v>
      </c>
      <c r="AP1139" s="8">
        <v>1005</v>
      </c>
      <c r="AQ1139" s="8">
        <v>19.899999999999999</v>
      </c>
      <c r="AR1139" s="8">
        <v>24.2</v>
      </c>
      <c r="AS1139" s="8">
        <v>22.3</v>
      </c>
      <c r="AT1139" s="8">
        <v>35</v>
      </c>
      <c r="AU1139" s="8">
        <v>12.9</v>
      </c>
      <c r="AV1139" s="8">
        <v>68</v>
      </c>
      <c r="AW1139" s="8">
        <v>53</v>
      </c>
      <c r="AX1139" s="8">
        <v>376</v>
      </c>
      <c r="AY1139" s="8" t="s">
        <v>64</v>
      </c>
      <c r="AZ1139" s="8" t="s">
        <v>37</v>
      </c>
      <c r="BA1139" s="7" t="s">
        <v>46</v>
      </c>
      <c r="BB1139" s="9">
        <v>300</v>
      </c>
      <c r="BC1139" s="8" t="s">
        <v>586</v>
      </c>
      <c r="BD1139" s="8">
        <v>1.1000000000000001</v>
      </c>
      <c r="BE1139" s="8">
        <v>1.2</v>
      </c>
      <c r="BF1139" s="8">
        <v>2.1</v>
      </c>
      <c r="BG1139" s="8">
        <v>3.8</v>
      </c>
      <c r="BH1139" s="8">
        <v>5.5</v>
      </c>
      <c r="BI1139" s="8">
        <v>8.9</v>
      </c>
      <c r="BJ1139" s="8">
        <v>12.4</v>
      </c>
      <c r="BK1139" s="8">
        <v>11.3</v>
      </c>
      <c r="BL1139" s="8">
        <v>7.9</v>
      </c>
      <c r="BM1139" s="8">
        <v>4.4000000000000004</v>
      </c>
      <c r="BN1139" s="8">
        <v>2.4</v>
      </c>
      <c r="BO1139" s="8">
        <v>1.4</v>
      </c>
      <c r="BP1139" s="7">
        <v>5.2</v>
      </c>
    </row>
    <row r="1140" spans="1:68" ht="14.25" customHeight="1">
      <c r="A1140" s="12">
        <v>483</v>
      </c>
      <c r="B1140" s="14">
        <v>364</v>
      </c>
      <c r="C1140" s="13" t="s">
        <v>30</v>
      </c>
      <c r="D1140" s="13" t="s">
        <v>86</v>
      </c>
      <c r="E1140" s="13" t="s">
        <v>583</v>
      </c>
      <c r="F1140" s="11">
        <v>-33.299999999999997</v>
      </c>
      <c r="G1140" s="11">
        <v>-26.4</v>
      </c>
      <c r="H1140" s="11">
        <v>-17.100000000000001</v>
      </c>
      <c r="I1140" s="11">
        <v>-5.2</v>
      </c>
      <c r="J1140" s="11">
        <v>3.8</v>
      </c>
      <c r="K1140" s="11">
        <v>11</v>
      </c>
      <c r="L1140" s="11">
        <v>15.1</v>
      </c>
      <c r="M1140" s="11">
        <v>12.8</v>
      </c>
      <c r="N1140" s="11">
        <v>6.2</v>
      </c>
      <c r="O1140" s="11">
        <v>-5.0999999999999996</v>
      </c>
      <c r="P1140" s="11">
        <v>-20.6</v>
      </c>
      <c r="Q1140" s="11">
        <v>-30.7</v>
      </c>
      <c r="R1140" s="10">
        <v>-7.5</v>
      </c>
      <c r="S1140" s="12">
        <v>364</v>
      </c>
      <c r="T1140" s="8" t="s">
        <v>585</v>
      </c>
      <c r="U1140" s="11">
        <v>-47</v>
      </c>
      <c r="V1140" s="11">
        <v>-45</v>
      </c>
      <c r="W1140" s="11">
        <v>-44</v>
      </c>
      <c r="X1140" s="11">
        <v>-43</v>
      </c>
      <c r="Y1140" s="11">
        <v>-37</v>
      </c>
      <c r="Z1140" s="11">
        <v>-54</v>
      </c>
      <c r="AA1140" s="11">
        <v>15</v>
      </c>
      <c r="AB1140" s="11">
        <v>212</v>
      </c>
      <c r="AC1140" s="11">
        <v>-19.2</v>
      </c>
      <c r="AD1140" s="11">
        <v>268</v>
      </c>
      <c r="AE1140" s="11">
        <v>-14.3</v>
      </c>
      <c r="AF1140" s="11">
        <v>285</v>
      </c>
      <c r="AG1140" s="11">
        <v>-12.9</v>
      </c>
      <c r="AH1140" s="11">
        <v>76</v>
      </c>
      <c r="AI1140" s="11">
        <v>70</v>
      </c>
      <c r="AJ1140" s="11">
        <v>65</v>
      </c>
      <c r="AK1140" s="11" t="s">
        <v>66</v>
      </c>
      <c r="AL1140" s="11">
        <v>2.2999999999999998</v>
      </c>
      <c r="AM1140" s="10">
        <v>1.5</v>
      </c>
      <c r="AN1140" s="9">
        <v>364</v>
      </c>
      <c r="AO1140" s="8" t="s">
        <v>584</v>
      </c>
      <c r="AP1140" s="8">
        <v>905</v>
      </c>
      <c r="AQ1140" s="8">
        <v>20.2</v>
      </c>
      <c r="AR1140" s="8">
        <v>24.5</v>
      </c>
      <c r="AS1140" s="8">
        <v>22.6</v>
      </c>
      <c r="AT1140" s="8">
        <v>32</v>
      </c>
      <c r="AU1140" s="8">
        <v>14.3</v>
      </c>
      <c r="AV1140" s="8">
        <v>77</v>
      </c>
      <c r="AW1140" s="8">
        <v>58</v>
      </c>
      <c r="AX1140" s="8">
        <v>657</v>
      </c>
      <c r="AY1140" s="8">
        <v>89</v>
      </c>
      <c r="AZ1140" s="8" t="s">
        <v>63</v>
      </c>
      <c r="BA1140" s="7">
        <v>0</v>
      </c>
      <c r="BB1140" s="9">
        <v>329</v>
      </c>
      <c r="BC1140" s="8" t="s">
        <v>583</v>
      </c>
      <c r="BD1140" s="8">
        <v>0.4</v>
      </c>
      <c r="BE1140" s="8">
        <v>0.6</v>
      </c>
      <c r="BF1140" s="8">
        <v>1.2</v>
      </c>
      <c r="BG1140" s="8">
        <v>2.9</v>
      </c>
      <c r="BH1140" s="8">
        <v>5.2</v>
      </c>
      <c r="BI1140" s="8">
        <v>9.4</v>
      </c>
      <c r="BJ1140" s="8">
        <v>13.1</v>
      </c>
      <c r="BK1140" s="8">
        <v>11.9</v>
      </c>
      <c r="BL1140" s="8">
        <v>7.3</v>
      </c>
      <c r="BM1140" s="8">
        <v>3.3</v>
      </c>
      <c r="BN1140" s="8">
        <v>1.2</v>
      </c>
      <c r="BO1140" s="8">
        <v>0.5</v>
      </c>
      <c r="BP1140" s="7">
        <v>4.8</v>
      </c>
    </row>
    <row r="1141" spans="1:68" ht="14.25" customHeight="1">
      <c r="A1141" s="12">
        <v>484</v>
      </c>
      <c r="B1141" s="14">
        <v>167</v>
      </c>
      <c r="C1141" s="13" t="s">
        <v>30</v>
      </c>
      <c r="D1141" s="13" t="s">
        <v>445</v>
      </c>
      <c r="E1141" s="13" t="s">
        <v>580</v>
      </c>
      <c r="F1141" s="11">
        <v>5.9</v>
      </c>
      <c r="G1141" s="11">
        <v>6.1</v>
      </c>
      <c r="H1141" s="11">
        <v>8.1999999999999993</v>
      </c>
      <c r="I1141" s="11">
        <v>11.7</v>
      </c>
      <c r="J1141" s="11">
        <v>16.100000000000001</v>
      </c>
      <c r="K1141" s="11">
        <v>19.899999999999999</v>
      </c>
      <c r="L1141" s="11">
        <v>22.8</v>
      </c>
      <c r="M1141" s="11">
        <v>23.1</v>
      </c>
      <c r="N1141" s="11">
        <v>19.899999999999999</v>
      </c>
      <c r="O1141" s="11">
        <v>15.7</v>
      </c>
      <c r="P1141" s="11">
        <v>11.7</v>
      </c>
      <c r="Q1141" s="11">
        <v>8.1999999999999993</v>
      </c>
      <c r="R1141" s="10">
        <v>14.1</v>
      </c>
      <c r="S1141" s="12">
        <v>167</v>
      </c>
      <c r="T1141" s="8" t="s">
        <v>582</v>
      </c>
      <c r="U1141" s="11">
        <v>-9</v>
      </c>
      <c r="V1141" s="11">
        <v>-6</v>
      </c>
      <c r="W1141" s="11">
        <v>-5</v>
      </c>
      <c r="X1141" s="11">
        <v>-3</v>
      </c>
      <c r="Y1141" s="11">
        <v>1</v>
      </c>
      <c r="Z1141" s="11">
        <v>-18</v>
      </c>
      <c r="AA1141" s="11">
        <v>6.5</v>
      </c>
      <c r="AB1141" s="11">
        <v>0</v>
      </c>
      <c r="AC1141" s="11" t="s">
        <v>50</v>
      </c>
      <c r="AD1141" s="11">
        <v>72</v>
      </c>
      <c r="AE1141" s="11">
        <v>6.4</v>
      </c>
      <c r="AF1141" s="11">
        <v>121</v>
      </c>
      <c r="AG1141" s="11">
        <v>7.4</v>
      </c>
      <c r="AH1141" s="11">
        <v>72</v>
      </c>
      <c r="AI1141" s="11">
        <v>66</v>
      </c>
      <c r="AJ1141" s="11">
        <v>786</v>
      </c>
      <c r="AK1141" s="11" t="s">
        <v>199</v>
      </c>
      <c r="AL1141" s="11">
        <v>6.5</v>
      </c>
      <c r="AM1141" s="10">
        <v>3.2</v>
      </c>
      <c r="AN1141" s="9">
        <v>167</v>
      </c>
      <c r="AO1141" s="8" t="s">
        <v>581</v>
      </c>
      <c r="AP1141" s="8">
        <v>1010</v>
      </c>
      <c r="AQ1141" s="8">
        <v>24.8</v>
      </c>
      <c r="AR1141" s="8">
        <v>27.8</v>
      </c>
      <c r="AS1141" s="8">
        <v>26.6</v>
      </c>
      <c r="AT1141" s="8">
        <v>39</v>
      </c>
      <c r="AU1141" s="8">
        <v>7.5</v>
      </c>
      <c r="AV1141" s="8">
        <v>77</v>
      </c>
      <c r="AW1141" s="8">
        <v>68</v>
      </c>
      <c r="AX1141" s="8">
        <v>768</v>
      </c>
      <c r="AY1141" s="8">
        <v>245</v>
      </c>
      <c r="AZ1141" s="8" t="s">
        <v>37</v>
      </c>
      <c r="BA1141" s="7">
        <v>0</v>
      </c>
      <c r="BB1141" s="9">
        <v>146</v>
      </c>
      <c r="BC1141" s="8" t="s">
        <v>580</v>
      </c>
      <c r="BD1141" s="8">
        <v>6.8</v>
      </c>
      <c r="BE1141" s="8">
        <v>6.9</v>
      </c>
      <c r="BF1141" s="8">
        <v>7.6</v>
      </c>
      <c r="BG1141" s="8">
        <v>10.199999999999999</v>
      </c>
      <c r="BH1141" s="8">
        <v>14.3</v>
      </c>
      <c r="BI1141" s="8">
        <v>18.3</v>
      </c>
      <c r="BJ1141" s="8">
        <v>21.8</v>
      </c>
      <c r="BK1141" s="8">
        <v>21.4</v>
      </c>
      <c r="BL1141" s="8">
        <v>17.2</v>
      </c>
      <c r="BM1141" s="8">
        <v>12.8</v>
      </c>
      <c r="BN1141" s="8">
        <v>9.9</v>
      </c>
      <c r="BO1141" s="8">
        <v>7.7</v>
      </c>
      <c r="BP1141" s="7">
        <v>12.9</v>
      </c>
    </row>
    <row r="1142" spans="1:68" ht="14.25" customHeight="1">
      <c r="A1142" s="12">
        <v>485</v>
      </c>
      <c r="B1142" s="14">
        <v>467</v>
      </c>
      <c r="C1142" s="13" t="s">
        <v>555</v>
      </c>
      <c r="D1142" s="13" t="s">
        <v>555</v>
      </c>
      <c r="E1142" s="13" t="s">
        <v>579</v>
      </c>
      <c r="F1142" s="11">
        <v>-4.4000000000000004</v>
      </c>
      <c r="G1142" s="11">
        <v>-3.4</v>
      </c>
      <c r="H1142" s="11">
        <v>0.4</v>
      </c>
      <c r="I1142" s="11">
        <v>6.7</v>
      </c>
      <c r="J1142" s="11">
        <v>11.5</v>
      </c>
      <c r="K1142" s="11">
        <v>14.6</v>
      </c>
      <c r="L1142" s="11">
        <v>17.600000000000001</v>
      </c>
      <c r="M1142" s="11">
        <v>17.899999999999999</v>
      </c>
      <c r="N1142" s="11">
        <v>14.2</v>
      </c>
      <c r="O1142" s="11">
        <v>9</v>
      </c>
      <c r="P1142" s="11">
        <v>3.3</v>
      </c>
      <c r="Q1142" s="11">
        <v>-1.9</v>
      </c>
      <c r="R1142" s="10">
        <v>7.1</v>
      </c>
      <c r="S1142" s="12">
        <v>467</v>
      </c>
      <c r="T1142" s="8" t="s">
        <v>577</v>
      </c>
      <c r="U1142" s="11">
        <v>-21</v>
      </c>
      <c r="V1142" s="11">
        <v>-18</v>
      </c>
      <c r="W1142" s="11">
        <v>-18</v>
      </c>
      <c r="X1142" s="11">
        <v>-14</v>
      </c>
      <c r="Y1142" s="11" t="s">
        <v>49</v>
      </c>
      <c r="Z1142" s="11" t="s">
        <v>44</v>
      </c>
      <c r="AA1142" s="11" t="s">
        <v>49</v>
      </c>
      <c r="AB1142" s="11">
        <v>102</v>
      </c>
      <c r="AC1142" s="11">
        <v>-3</v>
      </c>
      <c r="AD1142" s="11">
        <v>184</v>
      </c>
      <c r="AE1142" s="11">
        <v>0.1</v>
      </c>
      <c r="AF1142" s="11">
        <v>204</v>
      </c>
      <c r="AG1142" s="11">
        <v>1</v>
      </c>
      <c r="AH1142" s="11">
        <v>70</v>
      </c>
      <c r="AI1142" s="11">
        <v>59</v>
      </c>
      <c r="AJ1142" s="11">
        <v>106</v>
      </c>
      <c r="AK1142" s="11" t="s">
        <v>48</v>
      </c>
      <c r="AL1142" s="11">
        <v>6.6</v>
      </c>
      <c r="AM1142" s="10" t="s">
        <v>44</v>
      </c>
      <c r="AN1142" s="9">
        <v>467</v>
      </c>
      <c r="AO1142" s="8" t="s">
        <v>578</v>
      </c>
      <c r="AP1142" s="8">
        <v>845</v>
      </c>
      <c r="AQ1142" s="8" t="s">
        <v>45</v>
      </c>
      <c r="AR1142" s="8" t="s">
        <v>44</v>
      </c>
      <c r="AS1142" s="8">
        <v>27.3</v>
      </c>
      <c r="AT1142" s="8">
        <v>35</v>
      </c>
      <c r="AU1142" s="8" t="s">
        <v>46</v>
      </c>
      <c r="AV1142" s="8">
        <v>70</v>
      </c>
      <c r="AW1142" s="8">
        <v>50</v>
      </c>
      <c r="AX1142" s="8">
        <v>369</v>
      </c>
      <c r="AY1142" s="8">
        <v>53</v>
      </c>
      <c r="AZ1142" s="8" t="s">
        <v>63</v>
      </c>
      <c r="BA1142" s="7">
        <v>0</v>
      </c>
      <c r="BB1142" s="9"/>
      <c r="BC1142" s="8" t="s">
        <v>577</v>
      </c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7"/>
    </row>
    <row r="1143" spans="1:68" ht="14.25" customHeight="1">
      <c r="A1143" s="12">
        <v>486</v>
      </c>
      <c r="B1143" s="14">
        <v>206</v>
      </c>
      <c r="C1143" s="13" t="s">
        <v>30</v>
      </c>
      <c r="D1143" s="13" t="s">
        <v>537</v>
      </c>
      <c r="E1143" s="13" t="s">
        <v>574</v>
      </c>
      <c r="F1143" s="11">
        <v>-36.6</v>
      </c>
      <c r="G1143" s="11">
        <v>-33.4</v>
      </c>
      <c r="H1143" s="11">
        <v>-25.8</v>
      </c>
      <c r="I1143" s="11">
        <v>-12</v>
      </c>
      <c r="J1143" s="11">
        <v>2.8</v>
      </c>
      <c r="K1143" s="11">
        <v>13</v>
      </c>
      <c r="L1143" s="11">
        <v>15.1</v>
      </c>
      <c r="M1143" s="11">
        <v>11.9</v>
      </c>
      <c r="N1143" s="11">
        <v>4</v>
      </c>
      <c r="O1143" s="11">
        <v>-11.3</v>
      </c>
      <c r="P1143" s="11">
        <v>-28.6</v>
      </c>
      <c r="Q1143" s="11">
        <v>-35.799999999999997</v>
      </c>
      <c r="R1143" s="10">
        <v>-11.4</v>
      </c>
      <c r="S1143" s="12">
        <v>206</v>
      </c>
      <c r="T1143" s="8" t="s">
        <v>576</v>
      </c>
      <c r="U1143" s="11">
        <v>-58</v>
      </c>
      <c r="V1143" s="11">
        <v>-53</v>
      </c>
      <c r="W1143" s="11">
        <v>-55</v>
      </c>
      <c r="X1143" s="11">
        <v>-52</v>
      </c>
      <c r="Y1143" s="11">
        <v>-42</v>
      </c>
      <c r="Z1143" s="11">
        <v>-56</v>
      </c>
      <c r="AA1143" s="11">
        <v>6.3</v>
      </c>
      <c r="AB1143" s="11">
        <v>229</v>
      </c>
      <c r="AC1143" s="11">
        <v>-23.9</v>
      </c>
      <c r="AD1143" s="11">
        <v>274</v>
      </c>
      <c r="AE1143" s="11">
        <v>-19.3</v>
      </c>
      <c r="AF1143" s="11">
        <v>287</v>
      </c>
      <c r="AG1143" s="11">
        <v>-17.899999999999999</v>
      </c>
      <c r="AH1143" s="11">
        <v>77</v>
      </c>
      <c r="AI1143" s="11">
        <v>76</v>
      </c>
      <c r="AJ1143" s="11">
        <v>160</v>
      </c>
      <c r="AK1143" s="11" t="s">
        <v>39</v>
      </c>
      <c r="AL1143" s="11">
        <v>2</v>
      </c>
      <c r="AM1143" s="10">
        <v>1.6</v>
      </c>
      <c r="AN1143" s="9">
        <v>206</v>
      </c>
      <c r="AO1143" s="8" t="s">
        <v>575</v>
      </c>
      <c r="AP1143" s="8">
        <v>985</v>
      </c>
      <c r="AQ1143" s="8">
        <v>19.8</v>
      </c>
      <c r="AR1143" s="8">
        <v>24.1</v>
      </c>
      <c r="AS1143" s="8">
        <v>22.2</v>
      </c>
      <c r="AT1143" s="8">
        <v>36</v>
      </c>
      <c r="AU1143" s="8">
        <v>13.6</v>
      </c>
      <c r="AV1143" s="8">
        <v>68</v>
      </c>
      <c r="AW1143" s="8">
        <v>52</v>
      </c>
      <c r="AX1143" s="8">
        <v>298</v>
      </c>
      <c r="AY1143" s="8">
        <v>46</v>
      </c>
      <c r="AZ1143" s="8" t="s">
        <v>32</v>
      </c>
      <c r="BA1143" s="7">
        <v>0</v>
      </c>
      <c r="BB1143" s="9">
        <v>181</v>
      </c>
      <c r="BC1143" s="8" t="s">
        <v>574</v>
      </c>
      <c r="BD1143" s="8">
        <v>0.3</v>
      </c>
      <c r="BE1143" s="8">
        <v>0.4</v>
      </c>
      <c r="BF1143" s="8">
        <v>0.7</v>
      </c>
      <c r="BG1143" s="8">
        <v>1.9</v>
      </c>
      <c r="BH1143" s="8">
        <v>4.5999999999999996</v>
      </c>
      <c r="BI1143" s="8">
        <v>8.6</v>
      </c>
      <c r="BJ1143" s="8">
        <v>11.3</v>
      </c>
      <c r="BK1143" s="8">
        <v>9.9</v>
      </c>
      <c r="BL1143" s="8">
        <v>5.9</v>
      </c>
      <c r="BM1143" s="8">
        <v>2.2999999999999998</v>
      </c>
      <c r="BN1143" s="8">
        <v>0.6</v>
      </c>
      <c r="BO1143" s="8">
        <v>0.3</v>
      </c>
      <c r="BP1143" s="7">
        <v>3.9</v>
      </c>
    </row>
    <row r="1144" spans="1:68" ht="14.25" customHeight="1">
      <c r="A1144" s="12">
        <v>487</v>
      </c>
      <c r="B1144" s="14">
        <v>432</v>
      </c>
      <c r="C1144" s="13" t="s">
        <v>30</v>
      </c>
      <c r="D1144" s="13" t="s">
        <v>57</v>
      </c>
      <c r="E1144" s="13" t="s">
        <v>572</v>
      </c>
      <c r="F1144" s="11">
        <v>-37.299999999999997</v>
      </c>
      <c r="G1144" s="11">
        <v>-34.700000000000003</v>
      </c>
      <c r="H1144" s="11">
        <v>-26.9</v>
      </c>
      <c r="I1144" s="11">
        <v>-14.6</v>
      </c>
      <c r="J1144" s="11">
        <v>-0.3</v>
      </c>
      <c r="K1144" s="11">
        <v>11.1</v>
      </c>
      <c r="L1144" s="11">
        <v>13.5</v>
      </c>
      <c r="M1144" s="11">
        <v>9.9</v>
      </c>
      <c r="N1144" s="11">
        <v>2.8</v>
      </c>
      <c r="O1144" s="11">
        <v>-11.3</v>
      </c>
      <c r="P1144" s="11">
        <v>-27.5</v>
      </c>
      <c r="Q1144" s="11">
        <v>-35.1</v>
      </c>
      <c r="R1144" s="10">
        <v>-12.5</v>
      </c>
      <c r="S1144" s="12">
        <v>432</v>
      </c>
      <c r="T1144" s="8" t="s">
        <v>572</v>
      </c>
      <c r="U1144" s="11">
        <v>-54</v>
      </c>
      <c r="V1144" s="11">
        <v>-53</v>
      </c>
      <c r="W1144" s="11">
        <v>-53</v>
      </c>
      <c r="X1144" s="11">
        <v>-51</v>
      </c>
      <c r="Y1144" s="11">
        <v>-42</v>
      </c>
      <c r="Z1144" s="11">
        <v>-58</v>
      </c>
      <c r="AA1144" s="11">
        <v>8</v>
      </c>
      <c r="AB1144" s="11">
        <v>237</v>
      </c>
      <c r="AC1144" s="11">
        <v>-23.7</v>
      </c>
      <c r="AD1144" s="11">
        <v>287</v>
      </c>
      <c r="AE1144" s="11">
        <v>-18.899999999999999</v>
      </c>
      <c r="AF1144" s="11">
        <v>301</v>
      </c>
      <c r="AG1144" s="11">
        <v>-17.5</v>
      </c>
      <c r="AH1144" s="11">
        <v>77</v>
      </c>
      <c r="AI1144" s="11">
        <v>77</v>
      </c>
      <c r="AJ1144" s="11">
        <v>76</v>
      </c>
      <c r="AK1144" s="11" t="s">
        <v>39</v>
      </c>
      <c r="AL1144" s="11">
        <v>2.9</v>
      </c>
      <c r="AM1144" s="10">
        <v>1.9</v>
      </c>
      <c r="AN1144" s="9">
        <v>432</v>
      </c>
      <c r="AO1144" s="8" t="s">
        <v>573</v>
      </c>
      <c r="AP1144" s="8">
        <v>1010</v>
      </c>
      <c r="AQ1144" s="8">
        <v>16.600000000000001</v>
      </c>
      <c r="AR1144" s="8">
        <v>21</v>
      </c>
      <c r="AS1144" s="8">
        <v>19</v>
      </c>
      <c r="AT1144" s="8">
        <v>36</v>
      </c>
      <c r="AU1144" s="8">
        <v>10.4</v>
      </c>
      <c r="AV1144" s="8">
        <v>69</v>
      </c>
      <c r="AW1144" s="8">
        <v>57</v>
      </c>
      <c r="AX1144" s="8">
        <v>151</v>
      </c>
      <c r="AY1144" s="8">
        <v>45</v>
      </c>
      <c r="AZ1144" s="8" t="s">
        <v>37</v>
      </c>
      <c r="BA1144" s="7">
        <v>0</v>
      </c>
      <c r="BB1144" s="9">
        <v>395</v>
      </c>
      <c r="BC1144" s="8" t="s">
        <v>572</v>
      </c>
      <c r="BD1144" s="8">
        <v>0.3</v>
      </c>
      <c r="BE1144" s="8">
        <v>0.3</v>
      </c>
      <c r="BF1144" s="8">
        <v>0.6</v>
      </c>
      <c r="BG1144" s="8">
        <v>1.5</v>
      </c>
      <c r="BH1144" s="8">
        <v>4.2</v>
      </c>
      <c r="BI1144" s="8">
        <v>8.1999999999999993</v>
      </c>
      <c r="BJ1144" s="8">
        <v>10.5</v>
      </c>
      <c r="BK1144" s="8">
        <v>9.3000000000000007</v>
      </c>
      <c r="BL1144" s="8">
        <v>5.7</v>
      </c>
      <c r="BM1144" s="8">
        <v>2.5</v>
      </c>
      <c r="BN1144" s="8">
        <v>0.6</v>
      </c>
      <c r="BO1144" s="8">
        <v>0.3</v>
      </c>
      <c r="BP1144" s="7">
        <v>3.7</v>
      </c>
    </row>
    <row r="1145" spans="1:68" ht="14.25" customHeight="1">
      <c r="A1145" s="12">
        <v>488</v>
      </c>
      <c r="B1145" s="14">
        <v>319</v>
      </c>
      <c r="C1145" s="13" t="s">
        <v>30</v>
      </c>
      <c r="D1145" s="13" t="s">
        <v>307</v>
      </c>
      <c r="E1145" s="13" t="s">
        <v>569</v>
      </c>
      <c r="F1145" s="11">
        <v>-20.399999999999999</v>
      </c>
      <c r="G1145" s="11">
        <v>-18.2</v>
      </c>
      <c r="H1145" s="11">
        <v>-10.199999999999999</v>
      </c>
      <c r="I1145" s="11">
        <v>-0.4</v>
      </c>
      <c r="J1145" s="11">
        <v>7.2</v>
      </c>
      <c r="K1145" s="11">
        <v>14.7</v>
      </c>
      <c r="L1145" s="11">
        <v>17.7</v>
      </c>
      <c r="M1145" s="11">
        <v>14</v>
      </c>
      <c r="N1145" s="11">
        <v>8.6</v>
      </c>
      <c r="O1145" s="11">
        <v>-0.3</v>
      </c>
      <c r="P1145" s="11">
        <v>-11.3</v>
      </c>
      <c r="Q1145" s="11">
        <v>-18.899999999999999</v>
      </c>
      <c r="R1145" s="10">
        <v>-1.5</v>
      </c>
      <c r="S1145" s="12">
        <v>319</v>
      </c>
      <c r="T1145" s="8" t="s">
        <v>571</v>
      </c>
      <c r="U1145" s="11">
        <v>-47</v>
      </c>
      <c r="V1145" s="11">
        <v>-46</v>
      </c>
      <c r="W1145" s="11">
        <v>-44</v>
      </c>
      <c r="X1145" s="11">
        <v>-41</v>
      </c>
      <c r="Y1145" s="11">
        <v>-25</v>
      </c>
      <c r="Z1145" s="11">
        <v>-51</v>
      </c>
      <c r="AA1145" s="11">
        <v>8.9</v>
      </c>
      <c r="AB1145" s="11">
        <v>184</v>
      </c>
      <c r="AC1145" s="11">
        <v>-13</v>
      </c>
      <c r="AD1145" s="11">
        <v>244</v>
      </c>
      <c r="AE1145" s="11">
        <v>-8.8000000000000007</v>
      </c>
      <c r="AF1145" s="11">
        <v>262</v>
      </c>
      <c r="AG1145" s="11">
        <v>-7.6</v>
      </c>
      <c r="AH1145" s="11">
        <v>80</v>
      </c>
      <c r="AI1145" s="11">
        <v>79</v>
      </c>
      <c r="AJ1145" s="11">
        <v>147</v>
      </c>
      <c r="AK1145" s="11" t="s">
        <v>39</v>
      </c>
      <c r="AL1145" s="11">
        <v>3.8</v>
      </c>
      <c r="AM1145" s="10">
        <v>3.5</v>
      </c>
      <c r="AN1145" s="9">
        <v>319</v>
      </c>
      <c r="AO1145" s="8" t="s">
        <v>570</v>
      </c>
      <c r="AP1145" s="8">
        <v>1000</v>
      </c>
      <c r="AQ1145" s="8">
        <v>21.3</v>
      </c>
      <c r="AR1145" s="8">
        <v>25.5</v>
      </c>
      <c r="AS1145" s="8">
        <v>23.7</v>
      </c>
      <c r="AT1145" s="8">
        <v>37</v>
      </c>
      <c r="AU1145" s="8">
        <v>11.4</v>
      </c>
      <c r="AV1145" s="8">
        <v>73</v>
      </c>
      <c r="AW1145" s="8">
        <v>58</v>
      </c>
      <c r="AX1145" s="8">
        <v>431</v>
      </c>
      <c r="AY1145" s="8">
        <v>56</v>
      </c>
      <c r="AZ1145" s="8" t="s">
        <v>54</v>
      </c>
      <c r="BA1145" s="7">
        <v>2.7</v>
      </c>
      <c r="BB1145" s="9">
        <v>287</v>
      </c>
      <c r="BC1145" s="8" t="s">
        <v>569</v>
      </c>
      <c r="BD1145" s="8">
        <v>1.3</v>
      </c>
      <c r="BE1145" s="8">
        <v>1.4</v>
      </c>
      <c r="BF1145" s="8">
        <v>2.2999999999999998</v>
      </c>
      <c r="BG1145" s="8">
        <v>4.0999999999999996</v>
      </c>
      <c r="BH1145" s="8">
        <v>6.5</v>
      </c>
      <c r="BI1145" s="8">
        <v>11.1</v>
      </c>
      <c r="BJ1145" s="8">
        <v>14.8</v>
      </c>
      <c r="BK1145" s="8">
        <v>12.8</v>
      </c>
      <c r="BL1145" s="8">
        <v>9</v>
      </c>
      <c r="BM1145" s="8">
        <v>5</v>
      </c>
      <c r="BN1145" s="8">
        <v>2.7</v>
      </c>
      <c r="BO1145" s="8">
        <v>1.6</v>
      </c>
      <c r="BP1145" s="7">
        <v>6.1</v>
      </c>
    </row>
    <row r="1146" spans="1:68" ht="14.25" customHeight="1">
      <c r="A1146" s="12">
        <v>489</v>
      </c>
      <c r="B1146" s="14">
        <v>386</v>
      </c>
      <c r="C1146" s="13" t="s">
        <v>30</v>
      </c>
      <c r="D1146" s="13" t="s">
        <v>162</v>
      </c>
      <c r="E1146" s="13" t="s">
        <v>566</v>
      </c>
      <c r="F1146" s="11">
        <v>-36.299999999999997</v>
      </c>
      <c r="G1146" s="11">
        <v>-30.7</v>
      </c>
      <c r="H1146" s="11">
        <v>-19.100000000000001</v>
      </c>
      <c r="I1146" s="11">
        <v>-5.7</v>
      </c>
      <c r="J1146" s="11">
        <v>4.5</v>
      </c>
      <c r="K1146" s="11">
        <v>12.1</v>
      </c>
      <c r="L1146" s="11">
        <v>15.1</v>
      </c>
      <c r="M1146" s="11">
        <v>12.1</v>
      </c>
      <c r="N1146" s="11">
        <v>4.5</v>
      </c>
      <c r="O1146" s="11">
        <v>-7.5</v>
      </c>
      <c r="P1146" s="11">
        <v>-23.7</v>
      </c>
      <c r="Q1146" s="11">
        <v>-34.4</v>
      </c>
      <c r="R1146" s="10">
        <v>-9.1</v>
      </c>
      <c r="S1146" s="12">
        <v>386</v>
      </c>
      <c r="T1146" s="8" t="s">
        <v>568</v>
      </c>
      <c r="U1146" s="11">
        <v>-52</v>
      </c>
      <c r="V1146" s="11">
        <v>-50</v>
      </c>
      <c r="W1146" s="11">
        <v>-48</v>
      </c>
      <c r="X1146" s="11">
        <v>-46</v>
      </c>
      <c r="Y1146" s="11">
        <v>-41</v>
      </c>
      <c r="Z1146" s="11">
        <v>-56</v>
      </c>
      <c r="AA1146" s="11">
        <v>17.2</v>
      </c>
      <c r="AB1146" s="11">
        <v>218</v>
      </c>
      <c r="AC1146" s="11">
        <v>-21.5</v>
      </c>
      <c r="AD1146" s="11">
        <v>271</v>
      </c>
      <c r="AE1146" s="11">
        <v>-16.399999999999999</v>
      </c>
      <c r="AF1146" s="11">
        <v>287</v>
      </c>
      <c r="AG1146" s="11">
        <v>-15</v>
      </c>
      <c r="AH1146" s="11">
        <v>78</v>
      </c>
      <c r="AI1146" s="11">
        <v>73</v>
      </c>
      <c r="AJ1146" s="11">
        <v>20</v>
      </c>
      <c r="AK1146" s="11" t="s">
        <v>199</v>
      </c>
      <c r="AL1146" s="11" t="s">
        <v>44</v>
      </c>
      <c r="AM1146" s="10">
        <v>0.9</v>
      </c>
      <c r="AN1146" s="9">
        <v>386</v>
      </c>
      <c r="AO1146" s="8" t="s">
        <v>567</v>
      </c>
      <c r="AP1146" s="8">
        <v>925</v>
      </c>
      <c r="AQ1146" s="8">
        <v>21.6</v>
      </c>
      <c r="AR1146" s="8">
        <v>25.8</v>
      </c>
      <c r="AS1146" s="8">
        <v>24</v>
      </c>
      <c r="AT1146" s="8">
        <v>36</v>
      </c>
      <c r="AU1146" s="8">
        <v>16.600000000000001</v>
      </c>
      <c r="AV1146" s="8">
        <v>76</v>
      </c>
      <c r="AW1146" s="8">
        <v>53</v>
      </c>
      <c r="AX1146" s="8">
        <v>351</v>
      </c>
      <c r="AY1146" s="8">
        <v>64</v>
      </c>
      <c r="AZ1146" s="8" t="s">
        <v>37</v>
      </c>
      <c r="BA1146" s="7" t="s">
        <v>46</v>
      </c>
      <c r="BB1146" s="9">
        <v>350</v>
      </c>
      <c r="BC1146" s="8" t="s">
        <v>566</v>
      </c>
      <c r="BD1146" s="8">
        <v>0.3</v>
      </c>
      <c r="BE1146" s="8">
        <v>0.4</v>
      </c>
      <c r="BF1146" s="8">
        <v>1</v>
      </c>
      <c r="BG1146" s="8">
        <v>2.4</v>
      </c>
      <c r="BH1146" s="8">
        <v>4.5999999999999996</v>
      </c>
      <c r="BI1146" s="8">
        <v>9.1</v>
      </c>
      <c r="BJ1146" s="8">
        <v>12.9</v>
      </c>
      <c r="BK1146" s="8">
        <v>11.2</v>
      </c>
      <c r="BL1146" s="8">
        <v>6.3</v>
      </c>
      <c r="BM1146" s="8">
        <v>2.7</v>
      </c>
      <c r="BN1146" s="8">
        <v>0.9</v>
      </c>
      <c r="BO1146" s="8">
        <v>0.4</v>
      </c>
      <c r="BP1146" s="7">
        <v>4.4000000000000004</v>
      </c>
    </row>
    <row r="1147" spans="1:68" ht="14.25" customHeight="1">
      <c r="A1147" s="12">
        <v>490</v>
      </c>
      <c r="B1147" s="14">
        <v>365</v>
      </c>
      <c r="C1147" s="13" t="s">
        <v>30</v>
      </c>
      <c r="D1147" s="13" t="s">
        <v>86</v>
      </c>
      <c r="E1147" s="13" t="s">
        <v>563</v>
      </c>
      <c r="F1147" s="11">
        <v>-31.1</v>
      </c>
      <c r="G1147" s="11">
        <v>-23</v>
      </c>
      <c r="H1147" s="11">
        <v>-12.1</v>
      </c>
      <c r="I1147" s="11">
        <v>0.2</v>
      </c>
      <c r="J1147" s="11">
        <v>8.1</v>
      </c>
      <c r="K1147" s="11">
        <v>14.8</v>
      </c>
      <c r="L1147" s="11">
        <v>18.8</v>
      </c>
      <c r="M1147" s="11">
        <v>16.5</v>
      </c>
      <c r="N1147" s="11">
        <v>9.5</v>
      </c>
      <c r="O1147" s="11">
        <v>-0.8</v>
      </c>
      <c r="P1147" s="11">
        <v>-16.600000000000001</v>
      </c>
      <c r="Q1147" s="11">
        <v>-28.6</v>
      </c>
      <c r="R1147" s="10">
        <v>-3.7</v>
      </c>
      <c r="S1147" s="12">
        <v>365</v>
      </c>
      <c r="T1147" s="8" t="s">
        <v>565</v>
      </c>
      <c r="U1147" s="11">
        <v>-43</v>
      </c>
      <c r="V1147" s="11">
        <v>-42</v>
      </c>
      <c r="W1147" s="11">
        <v>-41</v>
      </c>
      <c r="X1147" s="11">
        <v>-40</v>
      </c>
      <c r="Y1147" s="11">
        <v>-36</v>
      </c>
      <c r="Z1147" s="11">
        <v>-52</v>
      </c>
      <c r="AA1147" s="11">
        <v>12.1</v>
      </c>
      <c r="AB1147" s="11">
        <v>183</v>
      </c>
      <c r="AC1147" s="11">
        <v>-18.399999999999999</v>
      </c>
      <c r="AD1147" s="11">
        <v>238</v>
      </c>
      <c r="AE1147" s="11">
        <v>-13.3</v>
      </c>
      <c r="AF1147" s="11">
        <v>253</v>
      </c>
      <c r="AG1147" s="11">
        <v>-11.9</v>
      </c>
      <c r="AH1147" s="11">
        <v>76</v>
      </c>
      <c r="AI1147" s="11">
        <v>69</v>
      </c>
      <c r="AJ1147" s="11">
        <v>57</v>
      </c>
      <c r="AK1147" s="11" t="s">
        <v>44</v>
      </c>
      <c r="AL1147" s="11" t="s">
        <v>44</v>
      </c>
      <c r="AM1147" s="10" t="s">
        <v>44</v>
      </c>
      <c r="AN1147" s="9">
        <v>365</v>
      </c>
      <c r="AO1147" s="8" t="s">
        <v>564</v>
      </c>
      <c r="AP1147" s="8">
        <v>965</v>
      </c>
      <c r="AQ1147" s="8">
        <v>23.6</v>
      </c>
      <c r="AR1147" s="8">
        <v>27.7</v>
      </c>
      <c r="AS1147" s="8">
        <v>26</v>
      </c>
      <c r="AT1147" s="8">
        <v>40</v>
      </c>
      <c r="AU1147" s="8">
        <v>14.1</v>
      </c>
      <c r="AV1147" s="8">
        <v>78</v>
      </c>
      <c r="AW1147" s="8">
        <v>61</v>
      </c>
      <c r="AX1147" s="8">
        <v>625</v>
      </c>
      <c r="AY1147" s="8" t="s">
        <v>64</v>
      </c>
      <c r="AZ1147" s="8" t="s">
        <v>114</v>
      </c>
      <c r="BA1147" s="7" t="s">
        <v>46</v>
      </c>
      <c r="BB1147" s="9">
        <v>330</v>
      </c>
      <c r="BC1147" s="8" t="s">
        <v>563</v>
      </c>
      <c r="BD1147" s="8">
        <v>0.5</v>
      </c>
      <c r="BE1147" s="8">
        <v>0.8</v>
      </c>
      <c r="BF1147" s="8">
        <v>1.8</v>
      </c>
      <c r="BG1147" s="8">
        <v>3.7</v>
      </c>
      <c r="BH1147" s="8">
        <v>6.7</v>
      </c>
      <c r="BI1147" s="8">
        <v>12.2</v>
      </c>
      <c r="BJ1147" s="8">
        <v>16.899999999999999</v>
      </c>
      <c r="BK1147" s="8">
        <v>15.6</v>
      </c>
      <c r="BL1147" s="8">
        <v>9.4</v>
      </c>
      <c r="BM1147" s="8">
        <v>4.3</v>
      </c>
      <c r="BN1147" s="8">
        <v>1.6</v>
      </c>
      <c r="BO1147" s="8">
        <v>0.6</v>
      </c>
      <c r="BP1147" s="7">
        <v>6.2</v>
      </c>
    </row>
    <row r="1148" spans="1:68" ht="14.25" customHeight="1">
      <c r="A1148" s="12">
        <v>491</v>
      </c>
      <c r="B1148" s="14">
        <v>30</v>
      </c>
      <c r="C1148" s="13" t="s">
        <v>30</v>
      </c>
      <c r="D1148" s="13" t="s">
        <v>99</v>
      </c>
      <c r="E1148" s="13" t="s">
        <v>560</v>
      </c>
      <c r="F1148" s="11">
        <v>-34.700000000000003</v>
      </c>
      <c r="G1148" s="11">
        <v>-28.9</v>
      </c>
      <c r="H1148" s="11">
        <v>-18.399999999999999</v>
      </c>
      <c r="I1148" s="11">
        <v>-5.4</v>
      </c>
      <c r="J1148" s="11">
        <v>5.3</v>
      </c>
      <c r="K1148" s="11">
        <v>13.2</v>
      </c>
      <c r="L1148" s="11">
        <v>16.8</v>
      </c>
      <c r="M1148" s="11">
        <v>13.4</v>
      </c>
      <c r="N1148" s="11">
        <v>5.7</v>
      </c>
      <c r="O1148" s="11">
        <v>-6.6</v>
      </c>
      <c r="P1148" s="11">
        <v>-22.9</v>
      </c>
      <c r="Q1148" s="11">
        <v>-32.9</v>
      </c>
      <c r="R1148" s="10">
        <v>-8</v>
      </c>
      <c r="S1148" s="12">
        <v>30</v>
      </c>
      <c r="T1148" s="8" t="s">
        <v>562</v>
      </c>
      <c r="U1148" s="11">
        <v>-52</v>
      </c>
      <c r="V1148" s="11">
        <v>-49</v>
      </c>
      <c r="W1148" s="11">
        <v>-47</v>
      </c>
      <c r="X1148" s="11">
        <v>-45</v>
      </c>
      <c r="Y1148" s="11">
        <v>-40</v>
      </c>
      <c r="Z1148" s="11">
        <v>-58</v>
      </c>
      <c r="AA1148" s="11">
        <v>13.3</v>
      </c>
      <c r="AB1148" s="11">
        <v>213</v>
      </c>
      <c r="AC1148" s="11">
        <v>-20.8</v>
      </c>
      <c r="AD1148" s="11">
        <v>262</v>
      </c>
      <c r="AE1148" s="11">
        <v>-16.100000000000001</v>
      </c>
      <c r="AF1148" s="11">
        <v>278</v>
      </c>
      <c r="AG1148" s="11">
        <v>-14.7</v>
      </c>
      <c r="AH1148" s="11">
        <v>76</v>
      </c>
      <c r="AI1148" s="11">
        <v>72</v>
      </c>
      <c r="AJ1148" s="11">
        <v>77</v>
      </c>
      <c r="AK1148" s="11" t="s">
        <v>27</v>
      </c>
      <c r="AL1148" s="11" t="s">
        <v>44</v>
      </c>
      <c r="AM1148" s="10" t="s">
        <v>44</v>
      </c>
      <c r="AN1148" s="9">
        <v>30</v>
      </c>
      <c r="AO1148" s="8" t="s">
        <v>561</v>
      </c>
      <c r="AP1148" s="8">
        <v>945</v>
      </c>
      <c r="AQ1148" s="8">
        <v>22.6</v>
      </c>
      <c r="AR1148" s="8">
        <v>26.8</v>
      </c>
      <c r="AS1148" s="8">
        <v>25</v>
      </c>
      <c r="AT1148" s="8">
        <v>38</v>
      </c>
      <c r="AU1148" s="8">
        <v>16.7</v>
      </c>
      <c r="AV1148" s="8">
        <v>76</v>
      </c>
      <c r="AW1148" s="8">
        <v>56</v>
      </c>
      <c r="AX1148" s="8">
        <v>546</v>
      </c>
      <c r="AY1148" s="8" t="s">
        <v>64</v>
      </c>
      <c r="AZ1148" s="8" t="s">
        <v>25</v>
      </c>
      <c r="BA1148" s="7" t="s">
        <v>46</v>
      </c>
      <c r="BB1148" s="9"/>
      <c r="BC1148" s="8" t="s">
        <v>560</v>
      </c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7"/>
    </row>
    <row r="1149" spans="1:68" ht="14.25" customHeight="1">
      <c r="A1149" s="12">
        <v>492</v>
      </c>
      <c r="B1149" s="14">
        <v>309</v>
      </c>
      <c r="C1149" s="13" t="s">
        <v>30</v>
      </c>
      <c r="D1149" s="13" t="s">
        <v>559</v>
      </c>
      <c r="E1149" s="13" t="s">
        <v>556</v>
      </c>
      <c r="F1149" s="11">
        <v>-3.2</v>
      </c>
      <c r="G1149" s="11">
        <v>-2.2999999999999998</v>
      </c>
      <c r="H1149" s="11">
        <v>1.3</v>
      </c>
      <c r="I1149" s="11">
        <v>9.3000000000000007</v>
      </c>
      <c r="J1149" s="11">
        <v>15.3</v>
      </c>
      <c r="K1149" s="11">
        <v>19.3</v>
      </c>
      <c r="L1149" s="11">
        <v>21.9</v>
      </c>
      <c r="M1149" s="11">
        <v>21.2</v>
      </c>
      <c r="N1149" s="11">
        <v>16.100000000000001</v>
      </c>
      <c r="O1149" s="11">
        <v>9.6</v>
      </c>
      <c r="P1149" s="11">
        <v>4.0999999999999996</v>
      </c>
      <c r="Q1149" s="11">
        <v>-0.5</v>
      </c>
      <c r="R1149" s="10">
        <v>9.1</v>
      </c>
      <c r="S1149" s="12">
        <v>309</v>
      </c>
      <c r="T1149" s="8" t="s">
        <v>558</v>
      </c>
      <c r="U1149" s="11">
        <v>-26</v>
      </c>
      <c r="V1149" s="11">
        <v>-23</v>
      </c>
      <c r="W1149" s="11">
        <v>-22</v>
      </c>
      <c r="X1149" s="11">
        <v>-19</v>
      </c>
      <c r="Y1149" s="11">
        <v>-8</v>
      </c>
      <c r="Z1149" s="11">
        <v>-31</v>
      </c>
      <c r="AA1149" s="11">
        <v>6.6</v>
      </c>
      <c r="AB1149" s="11">
        <v>83</v>
      </c>
      <c r="AC1149" s="11">
        <v>-2</v>
      </c>
      <c r="AD1149" s="11">
        <v>168</v>
      </c>
      <c r="AE1149" s="11">
        <v>0.9</v>
      </c>
      <c r="AF1149" s="11">
        <v>187</v>
      </c>
      <c r="AG1149" s="11">
        <v>1.7</v>
      </c>
      <c r="AH1149" s="11">
        <v>82</v>
      </c>
      <c r="AI1149" s="11">
        <v>78</v>
      </c>
      <c r="AJ1149" s="11">
        <v>196</v>
      </c>
      <c r="AK1149" s="11" t="s">
        <v>48</v>
      </c>
      <c r="AL1149" s="11">
        <v>7.4</v>
      </c>
      <c r="AM1149" s="10">
        <v>4.4000000000000004</v>
      </c>
      <c r="AN1149" s="9">
        <v>309</v>
      </c>
      <c r="AO1149" s="8" t="s">
        <v>557</v>
      </c>
      <c r="AP1149" s="8">
        <v>965</v>
      </c>
      <c r="AQ1149" s="8">
        <v>25</v>
      </c>
      <c r="AR1149" s="8">
        <v>29</v>
      </c>
      <c r="AS1149" s="8">
        <v>27.4</v>
      </c>
      <c r="AT1149" s="8">
        <v>40</v>
      </c>
      <c r="AU1149" s="8">
        <v>9.8000000000000007</v>
      </c>
      <c r="AV1149" s="8">
        <v>59</v>
      </c>
      <c r="AW1149" s="8">
        <v>47</v>
      </c>
      <c r="AX1149" s="8">
        <v>457</v>
      </c>
      <c r="AY1149" s="8" t="s">
        <v>64</v>
      </c>
      <c r="AZ1149" s="8" t="s">
        <v>43</v>
      </c>
      <c r="BA1149" s="7">
        <v>0</v>
      </c>
      <c r="BB1149" s="9">
        <v>278</v>
      </c>
      <c r="BC1149" s="8" t="s">
        <v>556</v>
      </c>
      <c r="BD1149" s="8">
        <v>4.2</v>
      </c>
      <c r="BE1149" s="8">
        <v>4.3</v>
      </c>
      <c r="BF1149" s="8">
        <v>5.3</v>
      </c>
      <c r="BG1149" s="8">
        <v>7.6</v>
      </c>
      <c r="BH1149" s="8">
        <v>11.2</v>
      </c>
      <c r="BI1149" s="8">
        <v>13.5</v>
      </c>
      <c r="BJ1149" s="8">
        <v>14.8</v>
      </c>
      <c r="BK1149" s="8">
        <v>14.1</v>
      </c>
      <c r="BL1149" s="8">
        <v>11.5</v>
      </c>
      <c r="BM1149" s="8">
        <v>8.6999999999999993</v>
      </c>
      <c r="BN1149" s="8">
        <v>6.6</v>
      </c>
      <c r="BO1149" s="8">
        <v>5</v>
      </c>
      <c r="BP1149" s="7">
        <v>8.9</v>
      </c>
    </row>
    <row r="1150" spans="1:68" ht="14.25" customHeight="1">
      <c r="A1150" s="12">
        <v>493</v>
      </c>
      <c r="B1150" s="14">
        <v>468</v>
      </c>
      <c r="C1150" s="13" t="s">
        <v>555</v>
      </c>
      <c r="D1150" s="13" t="s">
        <v>555</v>
      </c>
      <c r="E1150" s="13" t="s">
        <v>554</v>
      </c>
      <c r="F1150" s="11">
        <v>-3.6</v>
      </c>
      <c r="G1150" s="11">
        <v>-2.8</v>
      </c>
      <c r="H1150" s="11">
        <v>0.6</v>
      </c>
      <c r="I1150" s="11">
        <v>6.7</v>
      </c>
      <c r="J1150" s="11">
        <v>11.3</v>
      </c>
      <c r="K1150" s="11">
        <v>14.2</v>
      </c>
      <c r="L1150" s="11">
        <v>17.100000000000001</v>
      </c>
      <c r="M1150" s="11">
        <v>16.8</v>
      </c>
      <c r="N1150" s="11">
        <v>13.3</v>
      </c>
      <c r="O1150" s="11">
        <v>8.1999999999999993</v>
      </c>
      <c r="P1150" s="11">
        <v>3.1</v>
      </c>
      <c r="Q1150" s="11">
        <v>-1.8</v>
      </c>
      <c r="R1150" s="10">
        <v>6.9</v>
      </c>
      <c r="S1150" s="12">
        <v>468</v>
      </c>
      <c r="T1150" s="8" t="s">
        <v>552</v>
      </c>
      <c r="U1150" s="11">
        <v>-22</v>
      </c>
      <c r="V1150" s="11">
        <v>-19</v>
      </c>
      <c r="W1150" s="11">
        <v>-18</v>
      </c>
      <c r="X1150" s="11">
        <v>-16</v>
      </c>
      <c r="Y1150" s="11" t="s">
        <v>49</v>
      </c>
      <c r="Z1150" s="11">
        <v>-31</v>
      </c>
      <c r="AA1150" s="11" t="s">
        <v>49</v>
      </c>
      <c r="AB1150" s="11">
        <v>99</v>
      </c>
      <c r="AC1150" s="11">
        <v>-2.6</v>
      </c>
      <c r="AD1150" s="11">
        <v>189</v>
      </c>
      <c r="AE1150" s="11">
        <v>0.6</v>
      </c>
      <c r="AF1150" s="11">
        <v>211</v>
      </c>
      <c r="AG1150" s="11">
        <v>1.4</v>
      </c>
      <c r="AH1150" s="11">
        <v>68</v>
      </c>
      <c r="AI1150" s="11">
        <v>56</v>
      </c>
      <c r="AJ1150" s="11">
        <v>142</v>
      </c>
      <c r="AK1150" s="11" t="s">
        <v>39</v>
      </c>
      <c r="AL1150" s="11">
        <v>7.2</v>
      </c>
      <c r="AM1150" s="10" t="s">
        <v>44</v>
      </c>
      <c r="AN1150" s="9">
        <v>468</v>
      </c>
      <c r="AO1150" s="8" t="s">
        <v>553</v>
      </c>
      <c r="AP1150" s="8">
        <v>860</v>
      </c>
      <c r="AQ1150" s="8" t="s">
        <v>45</v>
      </c>
      <c r="AR1150" s="8" t="s">
        <v>44</v>
      </c>
      <c r="AS1150" s="8">
        <v>23.3</v>
      </c>
      <c r="AT1150" s="8">
        <v>35</v>
      </c>
      <c r="AU1150" s="8" t="s">
        <v>46</v>
      </c>
      <c r="AV1150" s="8">
        <v>77</v>
      </c>
      <c r="AW1150" s="8">
        <v>60</v>
      </c>
      <c r="AX1150" s="8">
        <v>545</v>
      </c>
      <c r="AY1150" s="8">
        <v>53</v>
      </c>
      <c r="AZ1150" s="8" t="s">
        <v>43</v>
      </c>
      <c r="BA1150" s="7">
        <v>0</v>
      </c>
      <c r="BB1150" s="9"/>
      <c r="BC1150" s="8" t="s">
        <v>552</v>
      </c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7"/>
    </row>
    <row r="1151" spans="1:68" ht="14.25" customHeight="1">
      <c r="A1151" s="12">
        <v>494</v>
      </c>
      <c r="B1151" s="14">
        <v>637</v>
      </c>
      <c r="C1151" s="13" t="s">
        <v>52</v>
      </c>
      <c r="D1151" s="13" t="s">
        <v>551</v>
      </c>
      <c r="E1151" s="13" t="s">
        <v>549</v>
      </c>
      <c r="F1151" s="11">
        <v>-7.7</v>
      </c>
      <c r="G1151" s="11">
        <v>-6.4</v>
      </c>
      <c r="H1151" s="11">
        <v>-1.1000000000000001</v>
      </c>
      <c r="I1151" s="11">
        <v>7.9</v>
      </c>
      <c r="J1151" s="11">
        <v>14.9</v>
      </c>
      <c r="K1151" s="11">
        <v>18</v>
      </c>
      <c r="L1151" s="11">
        <v>19.2</v>
      </c>
      <c r="M1151" s="11">
        <v>18.2</v>
      </c>
      <c r="N1151" s="11">
        <v>13</v>
      </c>
      <c r="O1151" s="11">
        <v>6.6</v>
      </c>
      <c r="P1151" s="11">
        <v>0.6</v>
      </c>
      <c r="Q1151" s="11">
        <v>-4.0999999999999996</v>
      </c>
      <c r="R1151" s="10">
        <v>6.6</v>
      </c>
      <c r="S1151" s="12">
        <v>626</v>
      </c>
      <c r="T1151" s="8" t="s">
        <v>549</v>
      </c>
      <c r="U1151" s="11">
        <v>-30</v>
      </c>
      <c r="V1151" s="11">
        <v>-29</v>
      </c>
      <c r="W1151" s="11">
        <v>-27</v>
      </c>
      <c r="X1151" s="11">
        <v>-25</v>
      </c>
      <c r="Y1151" s="11">
        <v>-13</v>
      </c>
      <c r="Z1151" s="11">
        <v>-36</v>
      </c>
      <c r="AA1151" s="11" t="s">
        <v>49</v>
      </c>
      <c r="AB1151" s="11">
        <v>121</v>
      </c>
      <c r="AC1151" s="11">
        <v>-5</v>
      </c>
      <c r="AD1151" s="11">
        <v>185</v>
      </c>
      <c r="AE1151" s="11">
        <v>-1.9</v>
      </c>
      <c r="AF1151" s="11">
        <v>201</v>
      </c>
      <c r="AG1151" s="11">
        <v>-1.1000000000000001</v>
      </c>
      <c r="AH1151" s="11" t="s">
        <v>49</v>
      </c>
      <c r="AI1151" s="11" t="s">
        <v>49</v>
      </c>
      <c r="AJ1151" s="11">
        <v>220</v>
      </c>
      <c r="AK1151" s="11" t="s">
        <v>27</v>
      </c>
      <c r="AL1151" s="11" t="s">
        <v>44</v>
      </c>
      <c r="AM1151" s="10" t="s">
        <v>44</v>
      </c>
      <c r="AN1151" s="9">
        <v>627</v>
      </c>
      <c r="AO1151" s="8" t="s">
        <v>550</v>
      </c>
      <c r="AP1151" s="8">
        <v>995</v>
      </c>
      <c r="AQ1151" s="8">
        <v>27</v>
      </c>
      <c r="AR1151" s="8">
        <v>23</v>
      </c>
      <c r="AS1151" s="8">
        <v>25.1</v>
      </c>
      <c r="AT1151" s="8">
        <v>40</v>
      </c>
      <c r="AU1151" s="8" t="s">
        <v>46</v>
      </c>
      <c r="AV1151" s="8" t="s">
        <v>45</v>
      </c>
      <c r="AW1151" s="8" t="s">
        <v>44</v>
      </c>
      <c r="AX1151" s="8" t="s">
        <v>44</v>
      </c>
      <c r="AY1151" s="8">
        <v>89</v>
      </c>
      <c r="AZ1151" s="8" t="s">
        <v>54</v>
      </c>
      <c r="BA1151" s="7">
        <v>2</v>
      </c>
      <c r="BB1151" s="9"/>
      <c r="BC1151" s="8" t="s">
        <v>549</v>
      </c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7"/>
    </row>
    <row r="1152" spans="1:68" ht="14.25" customHeight="1">
      <c r="A1152" s="12">
        <v>495</v>
      </c>
      <c r="B1152" s="14">
        <v>433</v>
      </c>
      <c r="C1152" s="13" t="s">
        <v>30</v>
      </c>
      <c r="D1152" s="13" t="s">
        <v>57</v>
      </c>
      <c r="E1152" s="13" t="s">
        <v>547</v>
      </c>
      <c r="F1152" s="11">
        <v>-33.700000000000003</v>
      </c>
      <c r="G1152" s="11">
        <v>-30.1</v>
      </c>
      <c r="H1152" s="11">
        <v>-19.3</v>
      </c>
      <c r="I1152" s="11">
        <v>-6</v>
      </c>
      <c r="J1152" s="11">
        <v>5.6</v>
      </c>
      <c r="K1152" s="11">
        <v>14.6</v>
      </c>
      <c r="L1152" s="11">
        <v>17.7</v>
      </c>
      <c r="M1152" s="11">
        <v>13.9</v>
      </c>
      <c r="N1152" s="11">
        <v>5.6</v>
      </c>
      <c r="O1152" s="11">
        <v>-6.1</v>
      </c>
      <c r="P1152" s="11">
        <v>-24.1</v>
      </c>
      <c r="Q1152" s="11">
        <v>-32.200000000000003</v>
      </c>
      <c r="R1152" s="10">
        <v>-7.8</v>
      </c>
      <c r="S1152" s="12">
        <v>433</v>
      </c>
      <c r="T1152" s="8" t="s">
        <v>547</v>
      </c>
      <c r="U1152" s="11">
        <v>-56</v>
      </c>
      <c r="V1152" s="11">
        <v>-54</v>
      </c>
      <c r="W1152" s="11">
        <v>-53</v>
      </c>
      <c r="X1152" s="11">
        <v>-51</v>
      </c>
      <c r="Y1152" s="11">
        <v>-39</v>
      </c>
      <c r="Z1152" s="11">
        <v>-60</v>
      </c>
      <c r="AA1152" s="11">
        <v>11.8</v>
      </c>
      <c r="AB1152" s="11">
        <v>213</v>
      </c>
      <c r="AC1152" s="11">
        <v>-21</v>
      </c>
      <c r="AD1152" s="11">
        <v>260</v>
      </c>
      <c r="AE1152" s="11">
        <v>-16.5</v>
      </c>
      <c r="AF1152" s="11">
        <v>274</v>
      </c>
      <c r="AG1152" s="11">
        <v>-15.2</v>
      </c>
      <c r="AH1152" s="11">
        <v>76</v>
      </c>
      <c r="AI1152" s="11">
        <v>73</v>
      </c>
      <c r="AJ1152" s="11">
        <v>69</v>
      </c>
      <c r="AK1152" s="11" t="s">
        <v>39</v>
      </c>
      <c r="AL1152" s="11">
        <v>3.3</v>
      </c>
      <c r="AM1152" s="10">
        <v>2</v>
      </c>
      <c r="AN1152" s="9">
        <v>433</v>
      </c>
      <c r="AO1152" s="8" t="s">
        <v>548</v>
      </c>
      <c r="AP1152" s="8">
        <v>990</v>
      </c>
      <c r="AQ1152" s="8">
        <v>21.5</v>
      </c>
      <c r="AR1152" s="8">
        <v>26</v>
      </c>
      <c r="AS1152" s="8">
        <v>24.7</v>
      </c>
      <c r="AT1152" s="8">
        <v>36</v>
      </c>
      <c r="AU1152" s="8">
        <v>14.5</v>
      </c>
      <c r="AV1152" s="8">
        <v>65</v>
      </c>
      <c r="AW1152" s="8">
        <v>52</v>
      </c>
      <c r="AX1152" s="8">
        <v>215</v>
      </c>
      <c r="AY1152" s="8">
        <v>81</v>
      </c>
      <c r="AZ1152" s="8" t="s">
        <v>32</v>
      </c>
      <c r="BA1152" s="7">
        <v>0</v>
      </c>
      <c r="BB1152" s="9">
        <v>396</v>
      </c>
      <c r="BC1152" s="8" t="s">
        <v>547</v>
      </c>
      <c r="BD1152" s="8">
        <v>0.4</v>
      </c>
      <c r="BE1152" s="8">
        <v>0.6</v>
      </c>
      <c r="BF1152" s="8">
        <v>1.1000000000000001</v>
      </c>
      <c r="BG1152" s="8">
        <v>2.5</v>
      </c>
      <c r="BH1152" s="8">
        <v>4.7</v>
      </c>
      <c r="BI1152" s="8">
        <v>9.4</v>
      </c>
      <c r="BJ1152" s="8">
        <v>12.8</v>
      </c>
      <c r="BK1152" s="8">
        <v>11.1</v>
      </c>
      <c r="BL1152" s="8">
        <v>6.6</v>
      </c>
      <c r="BM1152" s="8">
        <v>3.3</v>
      </c>
      <c r="BN1152" s="8">
        <v>1</v>
      </c>
      <c r="BO1152" s="8">
        <v>0.5</v>
      </c>
      <c r="BP1152" s="7">
        <v>4.5</v>
      </c>
    </row>
    <row r="1153" spans="1:68" ht="14.25" customHeight="1">
      <c r="A1153" s="12">
        <v>496</v>
      </c>
      <c r="B1153" s="14">
        <v>333</v>
      </c>
      <c r="C1153" s="13" t="s">
        <v>30</v>
      </c>
      <c r="D1153" s="13" t="s">
        <v>259</v>
      </c>
      <c r="E1153" s="13" t="s">
        <v>544</v>
      </c>
      <c r="F1153" s="11">
        <v>-22</v>
      </c>
      <c r="G1153" s="11">
        <v>-19.600000000000001</v>
      </c>
      <c r="H1153" s="11">
        <v>-13.3</v>
      </c>
      <c r="I1153" s="11">
        <v>-3.5</v>
      </c>
      <c r="J1153" s="11">
        <v>4.0999999999999996</v>
      </c>
      <c r="K1153" s="11">
        <v>13</v>
      </c>
      <c r="L1153" s="11">
        <v>16.899999999999999</v>
      </c>
      <c r="M1153" s="11">
        <v>14</v>
      </c>
      <c r="N1153" s="11">
        <v>7.8</v>
      </c>
      <c r="O1153" s="11">
        <v>-1.4</v>
      </c>
      <c r="P1153" s="11">
        <v>-13.2</v>
      </c>
      <c r="Q1153" s="11">
        <v>-20.3</v>
      </c>
      <c r="R1153" s="10">
        <v>-3.4</v>
      </c>
      <c r="S1153" s="12">
        <v>333</v>
      </c>
      <c r="T1153" s="8" t="s">
        <v>546</v>
      </c>
      <c r="U1153" s="11">
        <v>-48</v>
      </c>
      <c r="V1153" s="11">
        <v>-47</v>
      </c>
      <c r="W1153" s="11">
        <v>-45</v>
      </c>
      <c r="X1153" s="11">
        <v>-43</v>
      </c>
      <c r="Y1153" s="11">
        <v>-27</v>
      </c>
      <c r="Z1153" s="11">
        <v>-55</v>
      </c>
      <c r="AA1153" s="11">
        <v>9.6999999999999993</v>
      </c>
      <c r="AB1153" s="11">
        <v>200</v>
      </c>
      <c r="AC1153" s="11">
        <v>-13.8</v>
      </c>
      <c r="AD1153" s="11">
        <v>257</v>
      </c>
      <c r="AE1153" s="11">
        <v>-9.9</v>
      </c>
      <c r="AF1153" s="11">
        <v>274</v>
      </c>
      <c r="AG1153" s="11">
        <v>-8.8000000000000007</v>
      </c>
      <c r="AH1153" s="11">
        <v>79</v>
      </c>
      <c r="AI1153" s="11">
        <v>78</v>
      </c>
      <c r="AJ1153" s="11">
        <v>209</v>
      </c>
      <c r="AK1153" s="11" t="s">
        <v>39</v>
      </c>
      <c r="AL1153" s="11">
        <v>5.3</v>
      </c>
      <c r="AM1153" s="10">
        <v>5</v>
      </c>
      <c r="AN1153" s="9">
        <v>333</v>
      </c>
      <c r="AO1153" s="8" t="s">
        <v>545</v>
      </c>
      <c r="AP1153" s="8">
        <v>1005</v>
      </c>
      <c r="AQ1153" s="8">
        <v>19.8</v>
      </c>
      <c r="AR1153" s="8">
        <v>23.6</v>
      </c>
      <c r="AS1153" s="8">
        <v>21.7</v>
      </c>
      <c r="AT1153" s="8">
        <v>34</v>
      </c>
      <c r="AU1153" s="8">
        <v>9.6999999999999993</v>
      </c>
      <c r="AV1153" s="8">
        <v>70</v>
      </c>
      <c r="AW1153" s="8">
        <v>59</v>
      </c>
      <c r="AX1153" s="8">
        <v>467</v>
      </c>
      <c r="AY1153" s="8">
        <v>68</v>
      </c>
      <c r="AZ1153" s="8" t="s">
        <v>32</v>
      </c>
      <c r="BA1153" s="7">
        <v>4.5</v>
      </c>
      <c r="BB1153" s="9">
        <v>301</v>
      </c>
      <c r="BC1153" s="8" t="s">
        <v>544</v>
      </c>
      <c r="BD1153" s="8">
        <v>1.2</v>
      </c>
      <c r="BE1153" s="8">
        <v>1.3</v>
      </c>
      <c r="BF1153" s="8">
        <v>1.9</v>
      </c>
      <c r="BG1153" s="8">
        <v>3.9</v>
      </c>
      <c r="BH1153" s="8">
        <v>6</v>
      </c>
      <c r="BI1153" s="8">
        <v>10.5</v>
      </c>
      <c r="BJ1153" s="8">
        <v>13.6</v>
      </c>
      <c r="BK1153" s="8">
        <v>12.7</v>
      </c>
      <c r="BL1153" s="8">
        <v>8.9</v>
      </c>
      <c r="BM1153" s="8">
        <v>5</v>
      </c>
      <c r="BN1153" s="8">
        <v>2.4</v>
      </c>
      <c r="BO1153" s="8">
        <v>1.4</v>
      </c>
      <c r="BP1153" s="7">
        <v>5.7</v>
      </c>
    </row>
    <row r="1154" spans="1:68" ht="14.25" customHeight="1">
      <c r="A1154" s="12">
        <v>497</v>
      </c>
      <c r="B1154" s="14">
        <v>343</v>
      </c>
      <c r="C1154" s="13" t="s">
        <v>30</v>
      </c>
      <c r="D1154" s="13" t="s">
        <v>352</v>
      </c>
      <c r="E1154" s="13" t="s">
        <v>541</v>
      </c>
      <c r="F1154" s="11">
        <v>-13.2</v>
      </c>
      <c r="G1154" s="11">
        <v>-12.5</v>
      </c>
      <c r="H1154" s="11">
        <v>-6.1</v>
      </c>
      <c r="I1154" s="11">
        <v>4.8</v>
      </c>
      <c r="J1154" s="11">
        <v>13</v>
      </c>
      <c r="K1154" s="11">
        <v>17.100000000000001</v>
      </c>
      <c r="L1154" s="11">
        <v>18.7</v>
      </c>
      <c r="M1154" s="11">
        <v>17.2</v>
      </c>
      <c r="N1154" s="11">
        <v>11.3</v>
      </c>
      <c r="O1154" s="11">
        <v>3.6</v>
      </c>
      <c r="P1154" s="11">
        <v>-3.1</v>
      </c>
      <c r="Q1154" s="11">
        <v>-8.9</v>
      </c>
      <c r="R1154" s="10">
        <v>3.5</v>
      </c>
      <c r="S1154" s="12">
        <v>343</v>
      </c>
      <c r="T1154" s="8" t="s">
        <v>543</v>
      </c>
      <c r="U1154" s="11">
        <v>-39</v>
      </c>
      <c r="V1154" s="11">
        <v>-36</v>
      </c>
      <c r="W1154" s="11">
        <v>-36</v>
      </c>
      <c r="X1154" s="11">
        <v>-31</v>
      </c>
      <c r="Y1154" s="11">
        <v>-18</v>
      </c>
      <c r="Z1154" s="11">
        <v>-46</v>
      </c>
      <c r="AA1154" s="11">
        <v>9.3000000000000007</v>
      </c>
      <c r="AB1154" s="11">
        <v>152</v>
      </c>
      <c r="AC1154" s="11">
        <v>-8.1999999999999993</v>
      </c>
      <c r="AD1154" s="11">
        <v>211</v>
      </c>
      <c r="AE1154" s="11">
        <v>-4.8</v>
      </c>
      <c r="AF1154" s="11">
        <v>226</v>
      </c>
      <c r="AG1154" s="11">
        <v>-3.9</v>
      </c>
      <c r="AH1154" s="11">
        <v>81</v>
      </c>
      <c r="AI1154" s="11">
        <v>80</v>
      </c>
      <c r="AJ1154" s="11">
        <v>140</v>
      </c>
      <c r="AK1154" s="11" t="s">
        <v>39</v>
      </c>
      <c r="AL1154" s="11" t="s">
        <v>44</v>
      </c>
      <c r="AM1154" s="10">
        <v>3.4</v>
      </c>
      <c r="AN1154" s="9">
        <v>343</v>
      </c>
      <c r="AO1154" s="8" t="s">
        <v>542</v>
      </c>
      <c r="AP1154" s="8">
        <v>1000</v>
      </c>
      <c r="AQ1154" s="8">
        <v>22.7</v>
      </c>
      <c r="AR1154" s="8">
        <v>26.8</v>
      </c>
      <c r="AS1154" s="8">
        <v>25.1</v>
      </c>
      <c r="AT1154" s="8">
        <v>38</v>
      </c>
      <c r="AU1154" s="8">
        <v>12.7</v>
      </c>
      <c r="AV1154" s="8">
        <v>71</v>
      </c>
      <c r="AW1154" s="8">
        <v>53</v>
      </c>
      <c r="AX1154" s="8">
        <v>344</v>
      </c>
      <c r="AY1154" s="8">
        <v>86</v>
      </c>
      <c r="AZ1154" s="8" t="s">
        <v>43</v>
      </c>
      <c r="BA1154" s="7" t="s">
        <v>46</v>
      </c>
      <c r="BB1154" s="9">
        <v>309</v>
      </c>
      <c r="BC1154" s="8" t="s">
        <v>541</v>
      </c>
      <c r="BD1154" s="8">
        <v>2.2999999999999998</v>
      </c>
      <c r="BE1154" s="8">
        <v>2.4</v>
      </c>
      <c r="BF1154" s="8">
        <v>3.5</v>
      </c>
      <c r="BG1154" s="8">
        <v>6.3</v>
      </c>
      <c r="BH1154" s="8">
        <v>8.9</v>
      </c>
      <c r="BI1154" s="8">
        <v>12.4</v>
      </c>
      <c r="BJ1154" s="8">
        <v>15</v>
      </c>
      <c r="BK1154" s="8">
        <v>13.7</v>
      </c>
      <c r="BL1154" s="8">
        <v>9.9</v>
      </c>
      <c r="BM1154" s="8">
        <v>6.5</v>
      </c>
      <c r="BN1154" s="8">
        <v>4.5999999999999996</v>
      </c>
      <c r="BO1154" s="8">
        <v>3.2</v>
      </c>
      <c r="BP1154" s="7">
        <v>7.4</v>
      </c>
    </row>
    <row r="1155" spans="1:68" ht="14.25" customHeight="1">
      <c r="A1155" s="12">
        <v>498</v>
      </c>
      <c r="B1155" s="14">
        <v>543</v>
      </c>
      <c r="C1155" s="13" t="s">
        <v>158</v>
      </c>
      <c r="D1155" s="13" t="s">
        <v>540</v>
      </c>
      <c r="E1155" s="13" t="s">
        <v>538</v>
      </c>
      <c r="F1155" s="11">
        <v>-21.5</v>
      </c>
      <c r="G1155" s="11">
        <v>-19.399999999999999</v>
      </c>
      <c r="H1155" s="11">
        <v>-11.7</v>
      </c>
      <c r="I1155" s="11">
        <v>-0.9</v>
      </c>
      <c r="J1155" s="11">
        <v>8</v>
      </c>
      <c r="K1155" s="11">
        <v>10.7</v>
      </c>
      <c r="L1155" s="11">
        <v>13.1</v>
      </c>
      <c r="M1155" s="11">
        <v>12.7</v>
      </c>
      <c r="N1155" s="11">
        <v>8.1999999999999993</v>
      </c>
      <c r="O1155" s="11">
        <v>1.3</v>
      </c>
      <c r="P1155" s="11">
        <v>-10.5</v>
      </c>
      <c r="Q1155" s="11">
        <v>-19.2</v>
      </c>
      <c r="R1155" s="10">
        <v>-2.4</v>
      </c>
      <c r="S1155" s="12">
        <v>543</v>
      </c>
      <c r="T1155" s="8" t="s">
        <v>538</v>
      </c>
      <c r="U1155" s="11">
        <v>-42</v>
      </c>
      <c r="V1155" s="11">
        <v>-40</v>
      </c>
      <c r="W1155" s="11">
        <v>-40</v>
      </c>
      <c r="X1155" s="11">
        <v>-36</v>
      </c>
      <c r="Y1155" s="11" t="s">
        <v>49</v>
      </c>
      <c r="Z1155" s="11" t="s">
        <v>44</v>
      </c>
      <c r="AA1155" s="11">
        <v>13.1</v>
      </c>
      <c r="AB1155" s="11" t="s">
        <v>84</v>
      </c>
      <c r="AC1155" s="11" t="s">
        <v>45</v>
      </c>
      <c r="AD1155" s="11" t="s">
        <v>84</v>
      </c>
      <c r="AE1155" s="11" t="s">
        <v>44</v>
      </c>
      <c r="AF1155" s="11" t="s">
        <v>114</v>
      </c>
      <c r="AG1155" s="11" t="s">
        <v>44</v>
      </c>
      <c r="AH1155" s="11">
        <v>82</v>
      </c>
      <c r="AI1155" s="11">
        <v>76</v>
      </c>
      <c r="AJ1155" s="11">
        <v>113</v>
      </c>
      <c r="AK1155" s="11" t="s">
        <v>39</v>
      </c>
      <c r="AL1155" s="11">
        <v>0.7</v>
      </c>
      <c r="AM1155" s="10" t="s">
        <v>44</v>
      </c>
      <c r="AN1155" s="9">
        <v>543</v>
      </c>
      <c r="AO1155" s="8" t="s">
        <v>539</v>
      </c>
      <c r="AP1155" s="8" t="s">
        <v>64</v>
      </c>
      <c r="AQ1155" s="8" t="s">
        <v>45</v>
      </c>
      <c r="AR1155" s="8" t="s">
        <v>44</v>
      </c>
      <c r="AS1155" s="8" t="s">
        <v>45</v>
      </c>
      <c r="AT1155" s="8">
        <v>33</v>
      </c>
      <c r="AU1155" s="8">
        <v>20.7</v>
      </c>
      <c r="AV1155" s="8">
        <v>63</v>
      </c>
      <c r="AW1155" s="8">
        <v>35</v>
      </c>
      <c r="AX1155" s="8">
        <v>290</v>
      </c>
      <c r="AY1155" s="8">
        <v>38</v>
      </c>
      <c r="AZ1155" s="8" t="s">
        <v>82</v>
      </c>
      <c r="BA1155" s="7">
        <v>1.1000000000000001</v>
      </c>
      <c r="BB1155" s="9"/>
      <c r="BC1155" s="8" t="s">
        <v>538</v>
      </c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7"/>
    </row>
    <row r="1156" spans="1:68" ht="14.25" customHeight="1">
      <c r="A1156" s="12">
        <v>499</v>
      </c>
      <c r="B1156" s="14">
        <v>207</v>
      </c>
      <c r="C1156" s="13" t="s">
        <v>30</v>
      </c>
      <c r="D1156" s="13" t="s">
        <v>537</v>
      </c>
      <c r="E1156" s="13" t="s">
        <v>534</v>
      </c>
      <c r="F1156" s="11">
        <v>-38.200000000000003</v>
      </c>
      <c r="G1156" s="11">
        <v>-34.5</v>
      </c>
      <c r="H1156" s="11">
        <v>-27.2</v>
      </c>
      <c r="I1156" s="11">
        <v>-13.3</v>
      </c>
      <c r="J1156" s="11">
        <v>1.6</v>
      </c>
      <c r="K1156" s="11">
        <v>10.8</v>
      </c>
      <c r="L1156" s="11">
        <v>13.3</v>
      </c>
      <c r="M1156" s="11">
        <v>10.199999999999999</v>
      </c>
      <c r="N1156" s="11">
        <v>2.1</v>
      </c>
      <c r="O1156" s="11">
        <v>-14.9</v>
      </c>
      <c r="P1156" s="11">
        <v>-31.2</v>
      </c>
      <c r="Q1156" s="11">
        <v>-37.5</v>
      </c>
      <c r="R1156" s="10">
        <v>-13.2</v>
      </c>
      <c r="S1156" s="12">
        <v>207</v>
      </c>
      <c r="T1156" s="8" t="s">
        <v>536</v>
      </c>
      <c r="U1156" s="11">
        <v>-59</v>
      </c>
      <c r="V1156" s="11">
        <v>-57</v>
      </c>
      <c r="W1156" s="11">
        <v>-58</v>
      </c>
      <c r="X1156" s="11">
        <v>-55</v>
      </c>
      <c r="Y1156" s="11">
        <v>-43</v>
      </c>
      <c r="Z1156" s="11">
        <v>-61</v>
      </c>
      <c r="AA1156" s="11">
        <v>9.1999999999999993</v>
      </c>
      <c r="AB1156" s="11">
        <v>236</v>
      </c>
      <c r="AC1156" s="11">
        <v>-25.1</v>
      </c>
      <c r="AD1156" s="11">
        <v>286</v>
      </c>
      <c r="AE1156" s="11">
        <v>-19.899999999999999</v>
      </c>
      <c r="AF1156" s="11">
        <v>300</v>
      </c>
      <c r="AG1156" s="11">
        <v>-18.5</v>
      </c>
      <c r="AH1156" s="11">
        <v>73</v>
      </c>
      <c r="AI1156" s="11">
        <v>73</v>
      </c>
      <c r="AJ1156" s="11">
        <v>50</v>
      </c>
      <c r="AK1156" s="11" t="s">
        <v>199</v>
      </c>
      <c r="AL1156" s="11">
        <v>4.4000000000000004</v>
      </c>
      <c r="AM1156" s="10">
        <v>2</v>
      </c>
      <c r="AN1156" s="9">
        <v>207</v>
      </c>
      <c r="AO1156" s="8" t="s">
        <v>535</v>
      </c>
      <c r="AP1156" s="8">
        <v>945</v>
      </c>
      <c r="AQ1156" s="8">
        <v>18.2</v>
      </c>
      <c r="AR1156" s="8">
        <v>22.6</v>
      </c>
      <c r="AS1156" s="8">
        <v>20.6</v>
      </c>
      <c r="AT1156" s="8">
        <v>32</v>
      </c>
      <c r="AU1156" s="8">
        <v>14.6</v>
      </c>
      <c r="AV1156" s="8">
        <v>68</v>
      </c>
      <c r="AW1156" s="8">
        <v>52</v>
      </c>
      <c r="AX1156" s="8">
        <v>233</v>
      </c>
      <c r="AY1156" s="8">
        <v>36</v>
      </c>
      <c r="AZ1156" s="8" t="s">
        <v>37</v>
      </c>
      <c r="BA1156" s="7">
        <v>0</v>
      </c>
      <c r="BB1156" s="9">
        <v>182</v>
      </c>
      <c r="BC1156" s="8" t="s">
        <v>534</v>
      </c>
      <c r="BD1156" s="8">
        <v>0.3</v>
      </c>
      <c r="BE1156" s="8">
        <v>0.4</v>
      </c>
      <c r="BF1156" s="8">
        <v>0.6</v>
      </c>
      <c r="BG1156" s="8">
        <v>1.8</v>
      </c>
      <c r="BH1156" s="8">
        <v>4.3</v>
      </c>
      <c r="BI1156" s="8">
        <v>7.8</v>
      </c>
      <c r="BJ1156" s="8">
        <v>10.1</v>
      </c>
      <c r="BK1156" s="8">
        <v>8.8000000000000007</v>
      </c>
      <c r="BL1156" s="8">
        <v>5.3</v>
      </c>
      <c r="BM1156" s="8">
        <v>1.9</v>
      </c>
      <c r="BN1156" s="8">
        <v>0.5</v>
      </c>
      <c r="BO1156" s="8">
        <v>0.3</v>
      </c>
      <c r="BP1156" s="7">
        <v>3.5</v>
      </c>
    </row>
    <row r="1157" spans="1:68" ht="14.25" customHeight="1">
      <c r="A1157" s="12">
        <v>500</v>
      </c>
      <c r="B1157" s="14">
        <v>434</v>
      </c>
      <c r="C1157" s="13" t="s">
        <v>30</v>
      </c>
      <c r="D1157" s="13" t="s">
        <v>57</v>
      </c>
      <c r="E1157" s="13" t="s">
        <v>532</v>
      </c>
      <c r="F1157" s="11">
        <v>-42.5</v>
      </c>
      <c r="G1157" s="11">
        <v>-38.299999999999997</v>
      </c>
      <c r="H1157" s="11">
        <v>-26.5</v>
      </c>
      <c r="I1157" s="11">
        <v>-13</v>
      </c>
      <c r="J1157" s="11">
        <v>-0.5</v>
      </c>
      <c r="K1157" s="11">
        <v>11.1</v>
      </c>
      <c r="L1157" s="11">
        <v>14.7</v>
      </c>
      <c r="M1157" s="11">
        <v>10.3</v>
      </c>
      <c r="N1157" s="11">
        <v>2.4</v>
      </c>
      <c r="O1157" s="11">
        <v>-11.6</v>
      </c>
      <c r="P1157" s="11">
        <v>-32.200000000000003</v>
      </c>
      <c r="Q1157" s="11">
        <v>-38.799999999999997</v>
      </c>
      <c r="R1157" s="10">
        <v>-13.7</v>
      </c>
      <c r="S1157" s="12">
        <v>434</v>
      </c>
      <c r="T1157" s="8" t="s">
        <v>532</v>
      </c>
      <c r="U1157" s="11">
        <v>-60</v>
      </c>
      <c r="V1157" s="11">
        <v>-59</v>
      </c>
      <c r="W1157" s="11">
        <v>-59</v>
      </c>
      <c r="X1157" s="11">
        <v>-57</v>
      </c>
      <c r="Y1157" s="11">
        <v>-48</v>
      </c>
      <c r="Z1157" s="11">
        <v>-64</v>
      </c>
      <c r="AA1157" s="11">
        <v>9.3000000000000007</v>
      </c>
      <c r="AB1157" s="11">
        <v>239</v>
      </c>
      <c r="AC1157" s="11">
        <v>-25.6</v>
      </c>
      <c r="AD1157" s="11">
        <v>286</v>
      </c>
      <c r="AE1157" s="11">
        <v>-20.6</v>
      </c>
      <c r="AF1157" s="11">
        <v>299</v>
      </c>
      <c r="AG1157" s="11">
        <v>-19.3</v>
      </c>
      <c r="AH1157" s="11">
        <v>72</v>
      </c>
      <c r="AI1157" s="11">
        <v>72</v>
      </c>
      <c r="AJ1157" s="11">
        <v>58</v>
      </c>
      <c r="AK1157" s="11" t="s">
        <v>39</v>
      </c>
      <c r="AL1157" s="11">
        <v>4</v>
      </c>
      <c r="AM1157" s="10">
        <v>1.4</v>
      </c>
      <c r="AN1157" s="9">
        <v>434</v>
      </c>
      <c r="AO1157" s="8" t="s">
        <v>533</v>
      </c>
      <c r="AP1157" s="8">
        <v>1000</v>
      </c>
      <c r="AQ1157" s="8">
        <v>18.7</v>
      </c>
      <c r="AR1157" s="8">
        <v>23</v>
      </c>
      <c r="AS1157" s="8">
        <v>21.1</v>
      </c>
      <c r="AT1157" s="8">
        <v>34</v>
      </c>
      <c r="AU1157" s="8">
        <v>13.1</v>
      </c>
      <c r="AV1157" s="8">
        <v>63</v>
      </c>
      <c r="AW1157" s="8">
        <v>50</v>
      </c>
      <c r="AX1157" s="8">
        <v>216</v>
      </c>
      <c r="AY1157" s="8">
        <v>56</v>
      </c>
      <c r="AZ1157" s="8" t="s">
        <v>32</v>
      </c>
      <c r="BA1157" s="7">
        <v>0</v>
      </c>
      <c r="BB1157" s="9">
        <v>397</v>
      </c>
      <c r="BC1157" s="8" t="s">
        <v>532</v>
      </c>
      <c r="BD1157" s="8">
        <v>0.2</v>
      </c>
      <c r="BE1157" s="8">
        <v>0.3</v>
      </c>
      <c r="BF1157" s="8">
        <v>0.7</v>
      </c>
      <c r="BG1157" s="8">
        <v>1.7</v>
      </c>
      <c r="BH1157" s="8">
        <v>3.7</v>
      </c>
      <c r="BI1157" s="8">
        <v>7.5</v>
      </c>
      <c r="BJ1157" s="8">
        <v>10.3</v>
      </c>
      <c r="BK1157" s="8">
        <v>8.8000000000000007</v>
      </c>
      <c r="BL1157" s="8">
        <v>5.6</v>
      </c>
      <c r="BM1157" s="8">
        <v>2.5</v>
      </c>
      <c r="BN1157" s="8">
        <v>0.5</v>
      </c>
      <c r="BO1157" s="8">
        <v>0.3</v>
      </c>
      <c r="BP1157" s="7">
        <v>3.5</v>
      </c>
    </row>
    <row r="1158" spans="1:68" ht="14.25" customHeight="1">
      <c r="A1158" s="12">
        <v>501</v>
      </c>
      <c r="B1158" s="14">
        <v>493</v>
      </c>
      <c r="C1158" s="13" t="s">
        <v>531</v>
      </c>
      <c r="D1158" s="13" t="s">
        <v>531</v>
      </c>
      <c r="E1158" s="13" t="s">
        <v>530</v>
      </c>
      <c r="F1158" s="11">
        <v>5.9</v>
      </c>
      <c r="G1158" s="11">
        <v>6.7</v>
      </c>
      <c r="H1158" s="11">
        <v>8.8000000000000007</v>
      </c>
      <c r="I1158" s="11">
        <v>12.9</v>
      </c>
      <c r="J1158" s="11">
        <v>16.7</v>
      </c>
      <c r="K1158" s="11">
        <v>20.7</v>
      </c>
      <c r="L1158" s="11">
        <v>22.7</v>
      </c>
      <c r="M1158" s="11">
        <v>22.8</v>
      </c>
      <c r="N1158" s="11">
        <v>19.899999999999999</v>
      </c>
      <c r="O1158" s="11">
        <v>15.6</v>
      </c>
      <c r="P1158" s="11">
        <v>11.8</v>
      </c>
      <c r="Q1158" s="11">
        <v>8</v>
      </c>
      <c r="R1158" s="10">
        <v>14.4</v>
      </c>
      <c r="S1158" s="12">
        <v>493</v>
      </c>
      <c r="T1158" s="8" t="s">
        <v>528</v>
      </c>
      <c r="U1158" s="11">
        <v>-5</v>
      </c>
      <c r="V1158" s="11">
        <v>-4</v>
      </c>
      <c r="W1158" s="11">
        <v>-3</v>
      </c>
      <c r="X1158" s="11">
        <v>-2</v>
      </c>
      <c r="Y1158" s="11">
        <v>0</v>
      </c>
      <c r="Z1158" s="11">
        <v>-12</v>
      </c>
      <c r="AA1158" s="11">
        <v>6.5</v>
      </c>
      <c r="AB1158" s="11">
        <v>0</v>
      </c>
      <c r="AC1158" s="11" t="s">
        <v>50</v>
      </c>
      <c r="AD1158" s="11">
        <v>79</v>
      </c>
      <c r="AE1158" s="11">
        <v>6.4</v>
      </c>
      <c r="AF1158" s="11">
        <v>115</v>
      </c>
      <c r="AG1158" s="11">
        <v>7.3</v>
      </c>
      <c r="AH1158" s="11" t="s">
        <v>49</v>
      </c>
      <c r="AI1158" s="11">
        <v>65</v>
      </c>
      <c r="AJ1158" s="11">
        <v>679</v>
      </c>
      <c r="AK1158" s="11" t="s">
        <v>199</v>
      </c>
      <c r="AL1158" s="11" t="s">
        <v>44</v>
      </c>
      <c r="AM1158" s="10">
        <v>3</v>
      </c>
      <c r="AN1158" s="9">
        <v>493</v>
      </c>
      <c r="AO1158" s="8" t="s">
        <v>529</v>
      </c>
      <c r="AP1158" s="8">
        <v>1000</v>
      </c>
      <c r="AQ1158" s="8">
        <v>32</v>
      </c>
      <c r="AR1158" s="8">
        <v>25</v>
      </c>
      <c r="AS1158" s="8">
        <v>30.1</v>
      </c>
      <c r="AT1158" s="8">
        <v>40</v>
      </c>
      <c r="AU1158" s="8">
        <v>7.5</v>
      </c>
      <c r="AV1158" s="8">
        <v>77</v>
      </c>
      <c r="AW1158" s="8">
        <v>67</v>
      </c>
      <c r="AX1158" s="8" t="s">
        <v>44</v>
      </c>
      <c r="AY1158" s="8">
        <v>169</v>
      </c>
      <c r="AZ1158" s="8" t="s">
        <v>43</v>
      </c>
      <c r="BA1158" s="7">
        <v>1</v>
      </c>
      <c r="BB1158" s="9"/>
      <c r="BC1158" s="8" t="s">
        <v>528</v>
      </c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7"/>
    </row>
    <row r="1159" spans="1:68" ht="14.25" customHeight="1">
      <c r="A1159" s="12">
        <v>502</v>
      </c>
      <c r="B1159" s="14">
        <v>155</v>
      </c>
      <c r="C1159" s="13" t="s">
        <v>30</v>
      </c>
      <c r="D1159" s="13" t="s">
        <v>280</v>
      </c>
      <c r="E1159" s="13" t="s">
        <v>525</v>
      </c>
      <c r="F1159" s="11">
        <v>-15.6</v>
      </c>
      <c r="G1159" s="11">
        <v>-14.1</v>
      </c>
      <c r="H1159" s="11">
        <v>-7.7</v>
      </c>
      <c r="I1159" s="11">
        <v>1</v>
      </c>
      <c r="J1159" s="11">
        <v>7.6</v>
      </c>
      <c r="K1159" s="11">
        <v>14</v>
      </c>
      <c r="L1159" s="11">
        <v>16.7</v>
      </c>
      <c r="M1159" s="11">
        <v>14</v>
      </c>
      <c r="N1159" s="11">
        <v>7.8</v>
      </c>
      <c r="O1159" s="11">
        <v>0.3</v>
      </c>
      <c r="P1159" s="11">
        <v>-6.7</v>
      </c>
      <c r="Q1159" s="11">
        <v>-12.9</v>
      </c>
      <c r="R1159" s="10">
        <v>0.4</v>
      </c>
      <c r="S1159" s="12">
        <v>155</v>
      </c>
      <c r="T1159" s="8" t="s">
        <v>527</v>
      </c>
      <c r="U1159" s="11">
        <v>-42</v>
      </c>
      <c r="V1159" s="11">
        <v>-41</v>
      </c>
      <c r="W1159" s="11">
        <v>-39</v>
      </c>
      <c r="X1159" s="11">
        <v>-36</v>
      </c>
      <c r="Y1159" s="11">
        <v>-20</v>
      </c>
      <c r="Z1159" s="11">
        <v>-47</v>
      </c>
      <c r="AA1159" s="11">
        <v>7.8</v>
      </c>
      <c r="AB1159" s="11">
        <v>177</v>
      </c>
      <c r="AC1159" s="11">
        <v>-9.6</v>
      </c>
      <c r="AD1159" s="11">
        <v>245</v>
      </c>
      <c r="AE1159" s="11">
        <v>-5.8</v>
      </c>
      <c r="AF1159" s="11">
        <v>265</v>
      </c>
      <c r="AG1159" s="11">
        <v>-4.7</v>
      </c>
      <c r="AH1159" s="11">
        <v>83</v>
      </c>
      <c r="AI1159" s="11">
        <v>82</v>
      </c>
      <c r="AJ1159" s="11">
        <v>156</v>
      </c>
      <c r="AK1159" s="11" t="s">
        <v>39</v>
      </c>
      <c r="AL1159" s="11">
        <v>5.5</v>
      </c>
      <c r="AM1159" s="10">
        <v>4.0999999999999996</v>
      </c>
      <c r="AN1159" s="9">
        <v>155</v>
      </c>
      <c r="AO1159" s="8" t="s">
        <v>526</v>
      </c>
      <c r="AP1159" s="8">
        <v>1000</v>
      </c>
      <c r="AQ1159" s="8">
        <v>20</v>
      </c>
      <c r="AR1159" s="8">
        <v>24.3</v>
      </c>
      <c r="AS1159" s="8">
        <v>22.2</v>
      </c>
      <c r="AT1159" s="8">
        <v>35</v>
      </c>
      <c r="AU1159" s="8">
        <v>10.9</v>
      </c>
      <c r="AV1159" s="8">
        <v>71</v>
      </c>
      <c r="AW1159" s="8">
        <v>56</v>
      </c>
      <c r="AX1159" s="8">
        <v>404</v>
      </c>
      <c r="AY1159" s="8">
        <v>65</v>
      </c>
      <c r="AZ1159" s="8" t="s">
        <v>32</v>
      </c>
      <c r="BA1159" s="7">
        <v>3.8</v>
      </c>
      <c r="BB1159" s="9">
        <v>135</v>
      </c>
      <c r="BC1159" s="8" t="s">
        <v>525</v>
      </c>
      <c r="BD1159" s="8">
        <v>1.9</v>
      </c>
      <c r="BE1159" s="8">
        <v>1.9</v>
      </c>
      <c r="BF1159" s="8">
        <v>3</v>
      </c>
      <c r="BG1159" s="8">
        <v>4.8</v>
      </c>
      <c r="BH1159" s="8">
        <v>6.9</v>
      </c>
      <c r="BI1159" s="8">
        <v>10.4</v>
      </c>
      <c r="BJ1159" s="8">
        <v>13.4</v>
      </c>
      <c r="BK1159" s="8">
        <v>12.3</v>
      </c>
      <c r="BL1159" s="8">
        <v>9</v>
      </c>
      <c r="BM1159" s="8">
        <v>5.7</v>
      </c>
      <c r="BN1159" s="8">
        <v>3.7</v>
      </c>
      <c r="BO1159" s="8">
        <v>2.6</v>
      </c>
      <c r="BP1159" s="7">
        <v>6.3</v>
      </c>
    </row>
    <row r="1160" spans="1:68" ht="14.25" customHeight="1">
      <c r="A1160" s="12">
        <v>503</v>
      </c>
      <c r="B1160" s="14">
        <v>601</v>
      </c>
      <c r="C1160" s="13" t="s">
        <v>117</v>
      </c>
      <c r="D1160" s="13" t="s">
        <v>524</v>
      </c>
      <c r="E1160" s="13" t="s">
        <v>522</v>
      </c>
      <c r="F1160" s="11">
        <v>-1.5</v>
      </c>
      <c r="G1160" s="11">
        <v>1</v>
      </c>
      <c r="H1160" s="11">
        <v>7.7</v>
      </c>
      <c r="I1160" s="11">
        <v>15.2</v>
      </c>
      <c r="J1160" s="11">
        <v>21</v>
      </c>
      <c r="K1160" s="11">
        <v>25.4</v>
      </c>
      <c r="L1160" s="11">
        <v>26.8</v>
      </c>
      <c r="M1160" s="11">
        <v>24.3</v>
      </c>
      <c r="N1160" s="11">
        <v>18.8</v>
      </c>
      <c r="O1160" s="11">
        <v>12.3</v>
      </c>
      <c r="P1160" s="11">
        <v>5.3</v>
      </c>
      <c r="Q1160" s="11">
        <v>0.2</v>
      </c>
      <c r="R1160" s="10">
        <v>13.1</v>
      </c>
      <c r="S1160" s="12">
        <v>590</v>
      </c>
      <c r="T1160" s="8" t="s">
        <v>522</v>
      </c>
      <c r="U1160" s="11">
        <v>-23</v>
      </c>
      <c r="V1160" s="11">
        <v>-21</v>
      </c>
      <c r="W1160" s="11">
        <v>-20</v>
      </c>
      <c r="X1160" s="11" t="s">
        <v>64</v>
      </c>
      <c r="Y1160" s="11">
        <v>-5</v>
      </c>
      <c r="Z1160" s="11">
        <v>-32</v>
      </c>
      <c r="AA1160" s="11">
        <v>9.4</v>
      </c>
      <c r="AB1160" s="11">
        <v>51</v>
      </c>
      <c r="AC1160" s="11" t="s">
        <v>45</v>
      </c>
      <c r="AD1160" s="11">
        <v>134</v>
      </c>
      <c r="AE1160" s="11">
        <v>1.8</v>
      </c>
      <c r="AF1160" s="11" t="s">
        <v>114</v>
      </c>
      <c r="AG1160" s="11" t="s">
        <v>44</v>
      </c>
      <c r="AH1160" s="11" t="s">
        <v>49</v>
      </c>
      <c r="AI1160" s="11" t="s">
        <v>49</v>
      </c>
      <c r="AJ1160" s="11" t="s">
        <v>84</v>
      </c>
      <c r="AK1160" s="11" t="s">
        <v>44</v>
      </c>
      <c r="AL1160" s="11">
        <v>2.2000000000000002</v>
      </c>
      <c r="AM1160" s="10" t="s">
        <v>44</v>
      </c>
      <c r="AN1160" s="9">
        <v>591</v>
      </c>
      <c r="AO1160" s="8" t="s">
        <v>523</v>
      </c>
      <c r="AP1160" s="8">
        <v>990</v>
      </c>
      <c r="AQ1160" s="8">
        <v>33.1</v>
      </c>
      <c r="AR1160" s="8">
        <v>37.1</v>
      </c>
      <c r="AS1160" s="8">
        <v>36</v>
      </c>
      <c r="AT1160" s="8">
        <v>45</v>
      </c>
      <c r="AU1160" s="8">
        <v>18.7</v>
      </c>
      <c r="AV1160" s="8" t="s">
        <v>45</v>
      </c>
      <c r="AW1160" s="8" t="s">
        <v>44</v>
      </c>
      <c r="AX1160" s="8" t="s">
        <v>44</v>
      </c>
      <c r="AY1160" s="8">
        <v>53</v>
      </c>
      <c r="AZ1160" s="8" t="s">
        <v>114</v>
      </c>
      <c r="BA1160" s="7">
        <v>0</v>
      </c>
      <c r="BB1160" s="9"/>
      <c r="BC1160" s="8" t="s">
        <v>522</v>
      </c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7"/>
    </row>
    <row r="1161" spans="1:68" ht="14.25" customHeight="1">
      <c r="A1161" s="12">
        <v>504</v>
      </c>
      <c r="B1161" s="14">
        <v>435</v>
      </c>
      <c r="C1161" s="13" t="s">
        <v>30</v>
      </c>
      <c r="D1161" s="13" t="s">
        <v>57</v>
      </c>
      <c r="E1161" s="13" t="s">
        <v>520</v>
      </c>
      <c r="F1161" s="11">
        <v>-37.6</v>
      </c>
      <c r="G1161" s="11">
        <v>-33.799999999999997</v>
      </c>
      <c r="H1161" s="11">
        <v>-21.2</v>
      </c>
      <c r="I1161" s="11">
        <v>-8.5</v>
      </c>
      <c r="J1161" s="11">
        <v>3.6</v>
      </c>
      <c r="K1161" s="11">
        <v>13.2</v>
      </c>
      <c r="L1161" s="11">
        <v>16.399999999999999</v>
      </c>
      <c r="M1161" s="11">
        <v>12.6</v>
      </c>
      <c r="N1161" s="11">
        <v>4.5</v>
      </c>
      <c r="O1161" s="11">
        <v>-7.4</v>
      </c>
      <c r="P1161" s="11">
        <v>-26.9</v>
      </c>
      <c r="Q1161" s="11">
        <v>-35.1</v>
      </c>
      <c r="R1161" s="10">
        <v>-10</v>
      </c>
      <c r="S1161" s="12">
        <v>435</v>
      </c>
      <c r="T1161" s="8" t="s">
        <v>520</v>
      </c>
      <c r="U1161" s="11">
        <v>-61</v>
      </c>
      <c r="V1161" s="11">
        <v>-58</v>
      </c>
      <c r="W1161" s="11">
        <v>-56</v>
      </c>
      <c r="X1161" s="11">
        <v>-53</v>
      </c>
      <c r="Y1161" s="11">
        <v>-43</v>
      </c>
      <c r="Z1161" s="11">
        <v>-63</v>
      </c>
      <c r="AA1161" s="11">
        <v>11.8</v>
      </c>
      <c r="AB1161" s="11">
        <v>222</v>
      </c>
      <c r="AC1161" s="11">
        <v>-22.8</v>
      </c>
      <c r="AD1161" s="11">
        <v>270</v>
      </c>
      <c r="AE1161" s="11">
        <v>-18</v>
      </c>
      <c r="AF1161" s="11">
        <v>284</v>
      </c>
      <c r="AG1161" s="11">
        <v>-16.7</v>
      </c>
      <c r="AH1161" s="11">
        <v>75</v>
      </c>
      <c r="AI1161" s="11">
        <v>75</v>
      </c>
      <c r="AJ1161" s="11">
        <v>64</v>
      </c>
      <c r="AK1161" s="11" t="s">
        <v>39</v>
      </c>
      <c r="AL1161" s="11" t="s">
        <v>44</v>
      </c>
      <c r="AM1161" s="10">
        <v>1.1000000000000001</v>
      </c>
      <c r="AN1161" s="9">
        <v>435</v>
      </c>
      <c r="AO1161" s="8" t="s">
        <v>521</v>
      </c>
      <c r="AP1161" s="8">
        <v>990</v>
      </c>
      <c r="AQ1161" s="8">
        <v>21.8</v>
      </c>
      <c r="AR1161" s="8">
        <v>26</v>
      </c>
      <c r="AS1161" s="8">
        <v>24.2</v>
      </c>
      <c r="AT1161" s="8">
        <v>35</v>
      </c>
      <c r="AU1161" s="8">
        <v>16.2</v>
      </c>
      <c r="AV1161" s="8">
        <v>66</v>
      </c>
      <c r="AW1161" s="8">
        <v>48</v>
      </c>
      <c r="AX1161" s="8">
        <v>249</v>
      </c>
      <c r="AY1161" s="8" t="s">
        <v>64</v>
      </c>
      <c r="AZ1161" s="8" t="s">
        <v>37</v>
      </c>
      <c r="BA1161" s="7" t="s">
        <v>46</v>
      </c>
      <c r="BB1161" s="9">
        <v>398</v>
      </c>
      <c r="BC1161" s="8" t="s">
        <v>520</v>
      </c>
      <c r="BD1161" s="8">
        <v>0.3</v>
      </c>
      <c r="BE1161" s="8">
        <v>0.4</v>
      </c>
      <c r="BF1161" s="8">
        <v>1.1000000000000001</v>
      </c>
      <c r="BG1161" s="8">
        <v>2.2999999999999998</v>
      </c>
      <c r="BH1161" s="8">
        <v>4.7</v>
      </c>
      <c r="BI1161" s="8">
        <v>9</v>
      </c>
      <c r="BJ1161" s="8">
        <v>11.8</v>
      </c>
      <c r="BK1161" s="8">
        <v>10.4</v>
      </c>
      <c r="BL1161" s="8">
        <v>6.3</v>
      </c>
      <c r="BM1161" s="8">
        <v>3.2</v>
      </c>
      <c r="BN1161" s="8">
        <v>0.9</v>
      </c>
      <c r="BO1161" s="8">
        <v>0.4</v>
      </c>
      <c r="BP1161" s="7">
        <v>4.2</v>
      </c>
    </row>
    <row r="1162" spans="1:68" ht="14.25" customHeight="1">
      <c r="A1162" s="12">
        <v>505</v>
      </c>
      <c r="B1162" s="14">
        <v>436</v>
      </c>
      <c r="C1162" s="13" t="s">
        <v>30</v>
      </c>
      <c r="D1162" s="13" t="s">
        <v>57</v>
      </c>
      <c r="E1162" s="13" t="s">
        <v>518</v>
      </c>
      <c r="F1162" s="11">
        <v>-34.6</v>
      </c>
      <c r="G1162" s="11">
        <v>-32.4</v>
      </c>
      <c r="H1162" s="11">
        <v>-23.6</v>
      </c>
      <c r="I1162" s="11">
        <v>-12.7</v>
      </c>
      <c r="J1162" s="11">
        <v>-0.2</v>
      </c>
      <c r="K1162" s="11">
        <v>9.3000000000000007</v>
      </c>
      <c r="L1162" s="11">
        <v>12.7</v>
      </c>
      <c r="M1162" s="11">
        <v>9.9</v>
      </c>
      <c r="N1162" s="11">
        <v>1.7</v>
      </c>
      <c r="O1162" s="11">
        <v>-12.1</v>
      </c>
      <c r="P1162" s="11">
        <v>-27.4</v>
      </c>
      <c r="Q1162" s="11">
        <v>-33.1</v>
      </c>
      <c r="R1162" s="10">
        <v>-11.9</v>
      </c>
      <c r="S1162" s="12">
        <v>436</v>
      </c>
      <c r="T1162" s="8" t="s">
        <v>518</v>
      </c>
      <c r="U1162" s="11">
        <v>-51</v>
      </c>
      <c r="V1162" s="11">
        <v>-50</v>
      </c>
      <c r="W1162" s="11">
        <v>-49</v>
      </c>
      <c r="X1162" s="11">
        <v>-46</v>
      </c>
      <c r="Y1162" s="11">
        <v>-40</v>
      </c>
      <c r="Z1162" s="11">
        <v>-53</v>
      </c>
      <c r="AA1162" s="11">
        <v>7.2</v>
      </c>
      <c r="AB1162" s="11">
        <v>239</v>
      </c>
      <c r="AC1162" s="11">
        <v>-22.1</v>
      </c>
      <c r="AD1162" s="11">
        <v>292</v>
      </c>
      <c r="AE1162" s="11">
        <v>-17.399999999999999</v>
      </c>
      <c r="AF1162" s="11">
        <v>311</v>
      </c>
      <c r="AG1162" s="11">
        <v>-15.8</v>
      </c>
      <c r="AH1162" s="11">
        <v>75</v>
      </c>
      <c r="AI1162" s="11">
        <v>75</v>
      </c>
      <c r="AJ1162" s="11">
        <v>34</v>
      </c>
      <c r="AK1162" s="11" t="s">
        <v>39</v>
      </c>
      <c r="AL1162" s="11">
        <v>8.6999999999999993</v>
      </c>
      <c r="AM1162" s="10">
        <v>3</v>
      </c>
      <c r="AN1162" s="9">
        <v>436</v>
      </c>
      <c r="AO1162" s="8" t="s">
        <v>519</v>
      </c>
      <c r="AP1162" s="8">
        <v>920</v>
      </c>
      <c r="AQ1162" s="8">
        <v>16.8</v>
      </c>
      <c r="AR1162" s="8">
        <v>21.2</v>
      </c>
      <c r="AS1162" s="8">
        <v>19.2</v>
      </c>
      <c r="AT1162" s="8">
        <v>32</v>
      </c>
      <c r="AU1162" s="8">
        <v>12.3</v>
      </c>
      <c r="AV1162" s="8">
        <v>67</v>
      </c>
      <c r="AW1162" s="8">
        <v>54</v>
      </c>
      <c r="AX1162" s="8">
        <v>303</v>
      </c>
      <c r="AY1162" s="8">
        <v>56</v>
      </c>
      <c r="AZ1162" s="8" t="s">
        <v>82</v>
      </c>
      <c r="BA1162" s="7">
        <v>0</v>
      </c>
      <c r="BB1162" s="9">
        <v>399</v>
      </c>
      <c r="BC1162" s="8" t="s">
        <v>518</v>
      </c>
      <c r="BD1162" s="8">
        <v>0.3</v>
      </c>
      <c r="BE1162" s="8">
        <v>0.4</v>
      </c>
      <c r="BF1162" s="8">
        <v>0.7</v>
      </c>
      <c r="BG1162" s="8">
        <v>1.7</v>
      </c>
      <c r="BH1162" s="8">
        <v>3.9</v>
      </c>
      <c r="BI1162" s="8">
        <v>7.3</v>
      </c>
      <c r="BJ1162" s="8">
        <v>9.5</v>
      </c>
      <c r="BK1162" s="8">
        <v>8.8000000000000007</v>
      </c>
      <c r="BL1162" s="8">
        <v>5.2</v>
      </c>
      <c r="BM1162" s="8">
        <v>2.1</v>
      </c>
      <c r="BN1162" s="8">
        <v>0.6</v>
      </c>
      <c r="BO1162" s="8">
        <v>0.4</v>
      </c>
      <c r="BP1162" s="7">
        <v>3.4</v>
      </c>
    </row>
    <row r="1163" spans="1:68" ht="14.25" customHeight="1">
      <c r="A1163" s="12">
        <v>506</v>
      </c>
      <c r="B1163" s="14">
        <v>275</v>
      </c>
      <c r="C1163" s="13" t="s">
        <v>30</v>
      </c>
      <c r="D1163" s="13" t="s">
        <v>517</v>
      </c>
      <c r="E1163" s="13" t="s">
        <v>514</v>
      </c>
      <c r="F1163" s="11">
        <v>-5.2</v>
      </c>
      <c r="G1163" s="11">
        <v>-4.5</v>
      </c>
      <c r="H1163" s="11">
        <v>0.5</v>
      </c>
      <c r="I1163" s="11">
        <v>9.4</v>
      </c>
      <c r="J1163" s="11">
        <v>16.8</v>
      </c>
      <c r="K1163" s="11">
        <v>21</v>
      </c>
      <c r="L1163" s="11">
        <v>23.7</v>
      </c>
      <c r="M1163" s="11">
        <v>22.6</v>
      </c>
      <c r="N1163" s="11">
        <v>17.100000000000001</v>
      </c>
      <c r="O1163" s="11">
        <v>9.8000000000000007</v>
      </c>
      <c r="P1163" s="11">
        <v>3</v>
      </c>
      <c r="Q1163" s="11">
        <v>-2.1</v>
      </c>
      <c r="R1163" s="10">
        <v>9.3000000000000007</v>
      </c>
      <c r="S1163" s="12">
        <v>275</v>
      </c>
      <c r="T1163" s="8" t="s">
        <v>516</v>
      </c>
      <c r="U1163" s="11">
        <v>-28</v>
      </c>
      <c r="V1163" s="11">
        <v>-26</v>
      </c>
      <c r="W1163" s="11">
        <v>-25</v>
      </c>
      <c r="X1163" s="11">
        <v>-22</v>
      </c>
      <c r="Y1163" s="11">
        <v>-10</v>
      </c>
      <c r="Z1163" s="11">
        <v>-32</v>
      </c>
      <c r="AA1163" s="11">
        <v>5.5</v>
      </c>
      <c r="AB1163" s="11">
        <v>100</v>
      </c>
      <c r="AC1163" s="11">
        <v>-3.3</v>
      </c>
      <c r="AD1163" s="11">
        <v>167</v>
      </c>
      <c r="AE1163" s="11">
        <v>-0.4</v>
      </c>
      <c r="AF1163" s="11">
        <v>185</v>
      </c>
      <c r="AG1163" s="11">
        <v>0.4</v>
      </c>
      <c r="AH1163" s="11">
        <v>86</v>
      </c>
      <c r="AI1163" s="11">
        <v>85</v>
      </c>
      <c r="AJ1163" s="11">
        <v>214</v>
      </c>
      <c r="AK1163" s="11" t="s">
        <v>66</v>
      </c>
      <c r="AL1163" s="11" t="s">
        <v>44</v>
      </c>
      <c r="AM1163" s="10">
        <v>4.5999999999999996</v>
      </c>
      <c r="AN1163" s="9">
        <v>275</v>
      </c>
      <c r="AO1163" s="8" t="s">
        <v>515</v>
      </c>
      <c r="AP1163" s="8">
        <v>1010</v>
      </c>
      <c r="AQ1163" s="8">
        <v>25.8</v>
      </c>
      <c r="AR1163" s="8">
        <v>29.8</v>
      </c>
      <c r="AS1163" s="8">
        <v>28.2</v>
      </c>
      <c r="AT1163" s="8">
        <v>40</v>
      </c>
      <c r="AU1163" s="8">
        <v>9.1</v>
      </c>
      <c r="AV1163" s="8">
        <v>61</v>
      </c>
      <c r="AW1163" s="8">
        <v>51</v>
      </c>
      <c r="AX1163" s="8">
        <v>308</v>
      </c>
      <c r="AY1163" s="8">
        <v>140</v>
      </c>
      <c r="AZ1163" s="8" t="s">
        <v>63</v>
      </c>
      <c r="BA1163" s="7" t="s">
        <v>46</v>
      </c>
      <c r="BB1163" s="9">
        <v>246</v>
      </c>
      <c r="BC1163" s="8" t="s">
        <v>514</v>
      </c>
      <c r="BD1163" s="8">
        <v>4.0999999999999996</v>
      </c>
      <c r="BE1163" s="8">
        <v>4.3</v>
      </c>
      <c r="BF1163" s="8">
        <v>5.6</v>
      </c>
      <c r="BG1163" s="8">
        <v>8.8000000000000007</v>
      </c>
      <c r="BH1163" s="8">
        <v>12.6</v>
      </c>
      <c r="BI1163" s="8">
        <v>16.100000000000001</v>
      </c>
      <c r="BJ1163" s="8">
        <v>17.600000000000001</v>
      </c>
      <c r="BK1163" s="8">
        <v>16.8</v>
      </c>
      <c r="BL1163" s="8">
        <v>13</v>
      </c>
      <c r="BM1163" s="8">
        <v>9.3000000000000007</v>
      </c>
      <c r="BN1163" s="8">
        <v>7</v>
      </c>
      <c r="BO1163" s="8">
        <v>5.3</v>
      </c>
      <c r="BP1163" s="7">
        <v>10</v>
      </c>
    </row>
    <row r="1164" spans="1:68" ht="14.25" customHeight="1">
      <c r="A1164" s="12">
        <v>507</v>
      </c>
      <c r="B1164" s="14">
        <v>188</v>
      </c>
      <c r="C1164" s="13" t="s">
        <v>30</v>
      </c>
      <c r="D1164" s="13" t="s">
        <v>29</v>
      </c>
      <c r="E1164" s="13" t="s">
        <v>511</v>
      </c>
      <c r="F1164" s="11">
        <v>-30.1</v>
      </c>
      <c r="G1164" s="11">
        <v>-26.6</v>
      </c>
      <c r="H1164" s="11">
        <v>-15.6</v>
      </c>
      <c r="I1164" s="11">
        <v>-3.4</v>
      </c>
      <c r="J1164" s="11">
        <v>5.0999999999999996</v>
      </c>
      <c r="K1164" s="11">
        <v>13.4</v>
      </c>
      <c r="L1164" s="11">
        <v>16.8</v>
      </c>
      <c r="M1164" s="11">
        <v>12.7</v>
      </c>
      <c r="N1164" s="11">
        <v>5.3</v>
      </c>
      <c r="O1164" s="11">
        <v>-4.2</v>
      </c>
      <c r="P1164" s="11">
        <v>-20.100000000000001</v>
      </c>
      <c r="Q1164" s="11">
        <v>-29.1</v>
      </c>
      <c r="R1164" s="10">
        <v>-6.3</v>
      </c>
      <c r="S1164" s="12">
        <v>188</v>
      </c>
      <c r="T1164" s="8" t="s">
        <v>513</v>
      </c>
      <c r="U1164" s="11">
        <v>-55</v>
      </c>
      <c r="V1164" s="11">
        <v>-53</v>
      </c>
      <c r="W1164" s="11">
        <v>-53</v>
      </c>
      <c r="X1164" s="11">
        <v>-51</v>
      </c>
      <c r="Y1164" s="11">
        <v>-35</v>
      </c>
      <c r="Z1164" s="11">
        <v>-58</v>
      </c>
      <c r="AA1164" s="11">
        <v>12.6</v>
      </c>
      <c r="AB1164" s="11">
        <v>207</v>
      </c>
      <c r="AC1164" s="11">
        <v>-18.5</v>
      </c>
      <c r="AD1164" s="11">
        <v>264</v>
      </c>
      <c r="AE1164" s="11">
        <v>-13.6</v>
      </c>
      <c r="AF1164" s="11">
        <v>280</v>
      </c>
      <c r="AG1164" s="11">
        <v>-12.3</v>
      </c>
      <c r="AH1164" s="11">
        <v>76</v>
      </c>
      <c r="AI1164" s="11">
        <v>73</v>
      </c>
      <c r="AJ1164" s="11">
        <v>101</v>
      </c>
      <c r="AK1164" s="11" t="s">
        <v>48</v>
      </c>
      <c r="AL1164" s="11" t="s">
        <v>44</v>
      </c>
      <c r="AM1164" s="10">
        <v>1.2</v>
      </c>
      <c r="AN1164" s="9">
        <v>188</v>
      </c>
      <c r="AO1164" s="8" t="s">
        <v>512</v>
      </c>
      <c r="AP1164" s="8">
        <v>985</v>
      </c>
      <c r="AQ1164" s="8">
        <v>22.5</v>
      </c>
      <c r="AR1164" s="8">
        <v>26.6</v>
      </c>
      <c r="AS1164" s="8">
        <v>24.9</v>
      </c>
      <c r="AT1164" s="8">
        <v>37</v>
      </c>
      <c r="AU1164" s="8">
        <v>16.2</v>
      </c>
      <c r="AV1164" s="8">
        <v>72</v>
      </c>
      <c r="AW1164" s="8">
        <v>50</v>
      </c>
      <c r="AX1164" s="8">
        <v>309</v>
      </c>
      <c r="AY1164" s="8">
        <v>54</v>
      </c>
      <c r="AZ1164" s="8" t="s">
        <v>43</v>
      </c>
      <c r="BA1164" s="7" t="s">
        <v>46</v>
      </c>
      <c r="BB1164" s="9">
        <v>166</v>
      </c>
      <c r="BC1164" s="8" t="s">
        <v>511</v>
      </c>
      <c r="BD1164" s="8">
        <v>0.6</v>
      </c>
      <c r="BE1164" s="8">
        <v>0.7</v>
      </c>
      <c r="BF1164" s="8">
        <v>1.5</v>
      </c>
      <c r="BG1164" s="8">
        <v>3</v>
      </c>
      <c r="BH1164" s="8">
        <v>5.0999999999999996</v>
      </c>
      <c r="BI1164" s="8">
        <v>9.6</v>
      </c>
      <c r="BJ1164" s="8">
        <v>13.3</v>
      </c>
      <c r="BK1164" s="8">
        <v>11.5</v>
      </c>
      <c r="BL1164" s="8">
        <v>7.3</v>
      </c>
      <c r="BM1164" s="8">
        <v>3.8</v>
      </c>
      <c r="BN1164" s="8">
        <v>1.5</v>
      </c>
      <c r="BO1164" s="8">
        <v>0.7</v>
      </c>
      <c r="BP1164" s="7">
        <v>4.9000000000000004</v>
      </c>
    </row>
    <row r="1165" spans="1:68" ht="14.25" customHeight="1">
      <c r="A1165" s="12">
        <v>508</v>
      </c>
      <c r="B1165" s="14">
        <v>143</v>
      </c>
      <c r="C1165" s="13" t="s">
        <v>30</v>
      </c>
      <c r="D1165" s="13" t="s">
        <v>325</v>
      </c>
      <c r="E1165" s="13" t="s">
        <v>508</v>
      </c>
      <c r="F1165" s="11">
        <v>-18.8</v>
      </c>
      <c r="G1165" s="11">
        <v>-16.7</v>
      </c>
      <c r="H1165" s="11">
        <v>-10.4</v>
      </c>
      <c r="I1165" s="11">
        <v>-0.3</v>
      </c>
      <c r="J1165" s="11">
        <v>8.1999999999999993</v>
      </c>
      <c r="K1165" s="11">
        <v>14.9</v>
      </c>
      <c r="L1165" s="11">
        <v>17.5</v>
      </c>
      <c r="M1165" s="11">
        <v>14.4</v>
      </c>
      <c r="N1165" s="11">
        <v>8.4</v>
      </c>
      <c r="O1165" s="11">
        <v>0.1</v>
      </c>
      <c r="P1165" s="11">
        <v>-10.3</v>
      </c>
      <c r="Q1165" s="11">
        <v>-17.399999999999999</v>
      </c>
      <c r="R1165" s="10">
        <v>-0.9</v>
      </c>
      <c r="S1165" s="12">
        <v>143</v>
      </c>
      <c r="T1165" s="8" t="s">
        <v>510</v>
      </c>
      <c r="U1165" s="11">
        <v>-44</v>
      </c>
      <c r="V1165" s="11">
        <v>-43</v>
      </c>
      <c r="W1165" s="11">
        <v>-42</v>
      </c>
      <c r="X1165" s="11">
        <v>-39</v>
      </c>
      <c r="Y1165" s="11">
        <v>-24</v>
      </c>
      <c r="Z1165" s="11">
        <v>-53</v>
      </c>
      <c r="AA1165" s="11">
        <v>9.4</v>
      </c>
      <c r="AB1165" s="11">
        <v>182</v>
      </c>
      <c r="AC1165" s="11">
        <v>-12.2</v>
      </c>
      <c r="AD1165" s="11">
        <v>240</v>
      </c>
      <c r="AE1165" s="11">
        <v>-8.3000000000000007</v>
      </c>
      <c r="AF1165" s="11">
        <v>259</v>
      </c>
      <c r="AG1165" s="11">
        <v>-7</v>
      </c>
      <c r="AH1165" s="11">
        <v>81</v>
      </c>
      <c r="AI1165" s="11">
        <v>79</v>
      </c>
      <c r="AJ1165" s="11">
        <v>171</v>
      </c>
      <c r="AK1165" s="11" t="s">
        <v>39</v>
      </c>
      <c r="AL1165" s="11">
        <v>6.6</v>
      </c>
      <c r="AM1165" s="10" t="s">
        <v>44</v>
      </c>
      <c r="AN1165" s="9">
        <v>143</v>
      </c>
      <c r="AO1165" s="8" t="s">
        <v>509</v>
      </c>
      <c r="AP1165" s="8">
        <v>980</v>
      </c>
      <c r="AQ1165" s="8">
        <v>21.2</v>
      </c>
      <c r="AR1165" s="8">
        <v>25.4</v>
      </c>
      <c r="AS1165" s="8">
        <v>23.6</v>
      </c>
      <c r="AT1165" s="8">
        <v>36</v>
      </c>
      <c r="AU1165" s="8">
        <v>12.3</v>
      </c>
      <c r="AV1165" s="8">
        <v>74</v>
      </c>
      <c r="AW1165" s="8">
        <v>59</v>
      </c>
      <c r="AX1165" s="8">
        <v>444</v>
      </c>
      <c r="AY1165" s="8">
        <v>82</v>
      </c>
      <c r="AZ1165" s="8" t="s">
        <v>82</v>
      </c>
      <c r="BA1165" s="7">
        <v>0</v>
      </c>
      <c r="BB1165" s="9">
        <v>126</v>
      </c>
      <c r="BC1165" s="8" t="s">
        <v>508</v>
      </c>
      <c r="BD1165" s="8">
        <v>1.4</v>
      </c>
      <c r="BE1165" s="8">
        <v>1.5</v>
      </c>
      <c r="BF1165" s="8">
        <v>2.4</v>
      </c>
      <c r="BG1165" s="8">
        <v>4.4000000000000004</v>
      </c>
      <c r="BH1165" s="8">
        <v>6.8</v>
      </c>
      <c r="BI1165" s="8">
        <v>11.4</v>
      </c>
      <c r="BJ1165" s="8">
        <v>14.5</v>
      </c>
      <c r="BK1165" s="8">
        <v>12.7</v>
      </c>
      <c r="BL1165" s="8">
        <v>8.6</v>
      </c>
      <c r="BM1165" s="8">
        <v>5.0999999999999996</v>
      </c>
      <c r="BN1165" s="8">
        <v>2.7</v>
      </c>
      <c r="BO1165" s="8">
        <v>1.7</v>
      </c>
      <c r="BP1165" s="7">
        <v>6.1</v>
      </c>
    </row>
    <row r="1166" spans="1:68" ht="14.25" customHeight="1">
      <c r="A1166" s="12">
        <v>509</v>
      </c>
      <c r="B1166" s="14">
        <v>105</v>
      </c>
      <c r="C1166" s="13" t="s">
        <v>30</v>
      </c>
      <c r="D1166" s="13" t="s">
        <v>300</v>
      </c>
      <c r="E1166" s="13" t="s">
        <v>505</v>
      </c>
      <c r="F1166" s="11">
        <v>-19.5</v>
      </c>
      <c r="G1166" s="11">
        <v>-17.2</v>
      </c>
      <c r="H1166" s="11">
        <v>-9.1</v>
      </c>
      <c r="I1166" s="11">
        <v>0.7</v>
      </c>
      <c r="J1166" s="11">
        <v>8.4</v>
      </c>
      <c r="K1166" s="11">
        <v>15.8</v>
      </c>
      <c r="L1166" s="11">
        <v>18.3</v>
      </c>
      <c r="M1166" s="11">
        <v>15</v>
      </c>
      <c r="N1166" s="11">
        <v>8.3000000000000007</v>
      </c>
      <c r="O1166" s="11">
        <v>0.2</v>
      </c>
      <c r="P1166" s="11">
        <v>-10.6</v>
      </c>
      <c r="Q1166" s="11">
        <v>-18.399999999999999</v>
      </c>
      <c r="R1166" s="10">
        <v>-0.7</v>
      </c>
      <c r="S1166" s="12">
        <v>105</v>
      </c>
      <c r="T1166" s="8" t="s">
        <v>507</v>
      </c>
      <c r="U1166" s="11">
        <v>-46</v>
      </c>
      <c r="V1166" s="11">
        <v>-45</v>
      </c>
      <c r="W1166" s="11">
        <v>-42</v>
      </c>
      <c r="X1166" s="11">
        <v>-40</v>
      </c>
      <c r="Y1166" s="11">
        <v>-25</v>
      </c>
      <c r="Z1166" s="11">
        <v>-50</v>
      </c>
      <c r="AA1166" s="11">
        <v>10.8</v>
      </c>
      <c r="AB1166" s="11">
        <v>179</v>
      </c>
      <c r="AC1166" s="11">
        <v>-12.6</v>
      </c>
      <c r="AD1166" s="11">
        <v>240</v>
      </c>
      <c r="AE1166" s="11">
        <v>-8.3000000000000007</v>
      </c>
      <c r="AF1166" s="11">
        <v>257</v>
      </c>
      <c r="AG1166" s="11">
        <v>-7.2</v>
      </c>
      <c r="AH1166" s="11">
        <v>78</v>
      </c>
      <c r="AI1166" s="11">
        <v>75</v>
      </c>
      <c r="AJ1166" s="11">
        <v>125</v>
      </c>
      <c r="AK1166" s="11" t="s">
        <v>48</v>
      </c>
      <c r="AL1166" s="11">
        <v>6.4</v>
      </c>
      <c r="AM1166" s="10">
        <v>3.1</v>
      </c>
      <c r="AN1166" s="9">
        <v>105</v>
      </c>
      <c r="AO1166" s="8" t="s">
        <v>506</v>
      </c>
      <c r="AP1166" s="8">
        <v>975</v>
      </c>
      <c r="AQ1166" s="8">
        <v>22.4</v>
      </c>
      <c r="AR1166" s="8">
        <v>26.6</v>
      </c>
      <c r="AS1166" s="8">
        <v>24.8</v>
      </c>
      <c r="AT1166" s="8">
        <v>36</v>
      </c>
      <c r="AU1166" s="8">
        <v>13.2</v>
      </c>
      <c r="AV1166" s="8">
        <v>71</v>
      </c>
      <c r="AW1166" s="8">
        <v>54</v>
      </c>
      <c r="AX1166" s="8">
        <v>350</v>
      </c>
      <c r="AY1166" s="8">
        <v>71</v>
      </c>
      <c r="AZ1166" s="8" t="s">
        <v>43</v>
      </c>
      <c r="BA1166" s="7">
        <v>0</v>
      </c>
      <c r="BB1166" s="9">
        <v>89</v>
      </c>
      <c r="BC1166" s="8" t="s">
        <v>505</v>
      </c>
      <c r="BD1166" s="8">
        <v>1.3</v>
      </c>
      <c r="BE1166" s="8">
        <v>1.4</v>
      </c>
      <c r="BF1166" s="8">
        <v>2.2999999999999998</v>
      </c>
      <c r="BG1166" s="8">
        <v>4.0999999999999996</v>
      </c>
      <c r="BH1166" s="8">
        <v>6.1</v>
      </c>
      <c r="BI1166" s="8">
        <v>10.8</v>
      </c>
      <c r="BJ1166" s="8">
        <v>14.7</v>
      </c>
      <c r="BK1166" s="8">
        <v>12.9</v>
      </c>
      <c r="BL1166" s="8">
        <v>8.3000000000000007</v>
      </c>
      <c r="BM1166" s="8">
        <v>4.7</v>
      </c>
      <c r="BN1166" s="8">
        <v>2.4</v>
      </c>
      <c r="BO1166" s="8">
        <v>1.5</v>
      </c>
      <c r="BP1166" s="7">
        <v>5.9</v>
      </c>
    </row>
    <row r="1167" spans="1:68" ht="14.25" customHeight="1">
      <c r="A1167" s="12">
        <v>510</v>
      </c>
      <c r="B1167" s="14">
        <v>547</v>
      </c>
      <c r="C1167" s="13" t="s">
        <v>158</v>
      </c>
      <c r="D1167" s="13" t="s">
        <v>504</v>
      </c>
      <c r="E1167" s="13" t="s">
        <v>502</v>
      </c>
      <c r="F1167" s="11">
        <v>-6.6</v>
      </c>
      <c r="G1167" s="11">
        <v>-4.3</v>
      </c>
      <c r="H1167" s="11">
        <v>1.6</v>
      </c>
      <c r="I1167" s="11">
        <v>8.6999999999999993</v>
      </c>
      <c r="J1167" s="11">
        <v>14.1</v>
      </c>
      <c r="K1167" s="11">
        <v>18</v>
      </c>
      <c r="L1167" s="11">
        <v>20.2</v>
      </c>
      <c r="M1167" s="11">
        <v>18.600000000000001</v>
      </c>
      <c r="N1167" s="11">
        <v>13.5</v>
      </c>
      <c r="O1167" s="11">
        <v>7.5</v>
      </c>
      <c r="P1167" s="11">
        <v>0.6</v>
      </c>
      <c r="Q1167" s="11">
        <v>-3.8</v>
      </c>
      <c r="R1167" s="10">
        <v>7.3</v>
      </c>
      <c r="S1167" s="12">
        <v>547</v>
      </c>
      <c r="T1167" s="8" t="s">
        <v>502</v>
      </c>
      <c r="U1167" s="11">
        <v>-28</v>
      </c>
      <c r="V1167" s="11">
        <v>-24</v>
      </c>
      <c r="W1167" s="11">
        <v>-23</v>
      </c>
      <c r="X1167" s="11">
        <v>-21</v>
      </c>
      <c r="Y1167" s="11" t="s">
        <v>49</v>
      </c>
      <c r="Z1167" s="11" t="s">
        <v>44</v>
      </c>
      <c r="AA1167" s="11">
        <v>12.3</v>
      </c>
      <c r="AB1167" s="11" t="s">
        <v>84</v>
      </c>
      <c r="AC1167" s="11" t="s">
        <v>45</v>
      </c>
      <c r="AD1167" s="11" t="s">
        <v>84</v>
      </c>
      <c r="AE1167" s="11" t="s">
        <v>44</v>
      </c>
      <c r="AF1167" s="11" t="s">
        <v>114</v>
      </c>
      <c r="AG1167" s="11" t="s">
        <v>44</v>
      </c>
      <c r="AH1167" s="11">
        <v>67</v>
      </c>
      <c r="AI1167" s="11">
        <v>57</v>
      </c>
      <c r="AJ1167" s="11">
        <v>126</v>
      </c>
      <c r="AK1167" s="11" t="s">
        <v>66</v>
      </c>
      <c r="AL1167" s="11">
        <v>2.5</v>
      </c>
      <c r="AM1167" s="10" t="s">
        <v>44</v>
      </c>
      <c r="AN1167" s="9">
        <v>547</v>
      </c>
      <c r="AO1167" s="8" t="s">
        <v>503</v>
      </c>
      <c r="AP1167" s="8" t="s">
        <v>64</v>
      </c>
      <c r="AQ1167" s="8" t="s">
        <v>45</v>
      </c>
      <c r="AR1167" s="8" t="s">
        <v>44</v>
      </c>
      <c r="AS1167" s="8" t="s">
        <v>45</v>
      </c>
      <c r="AT1167" s="8">
        <v>40</v>
      </c>
      <c r="AU1167" s="8" t="s">
        <v>46</v>
      </c>
      <c r="AV1167" s="8">
        <v>51</v>
      </c>
      <c r="AW1167" s="8">
        <v>34</v>
      </c>
      <c r="AX1167" s="8">
        <v>216</v>
      </c>
      <c r="AY1167" s="8" t="s">
        <v>64</v>
      </c>
      <c r="AZ1167" s="8" t="s">
        <v>54</v>
      </c>
      <c r="BA1167" s="7">
        <v>1.9</v>
      </c>
      <c r="BB1167" s="9"/>
      <c r="BC1167" s="8" t="s">
        <v>502</v>
      </c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7"/>
    </row>
    <row r="1168" spans="1:68" ht="14.25" customHeight="1">
      <c r="A1168" s="12">
        <v>511</v>
      </c>
      <c r="B1168" s="14">
        <v>534</v>
      </c>
      <c r="C1168" s="13" t="s">
        <v>121</v>
      </c>
      <c r="D1168" s="13" t="s">
        <v>501</v>
      </c>
      <c r="E1168" s="13" t="s">
        <v>498</v>
      </c>
      <c r="F1168" s="11">
        <v>-9.6999999999999993</v>
      </c>
      <c r="G1168" s="11">
        <v>-8</v>
      </c>
      <c r="H1168" s="11">
        <v>0</v>
      </c>
      <c r="I1168" s="11">
        <v>10.199999999999999</v>
      </c>
      <c r="J1168" s="11">
        <v>16.3</v>
      </c>
      <c r="K1168" s="11">
        <v>21.1</v>
      </c>
      <c r="L1168" s="11">
        <v>23.5</v>
      </c>
      <c r="M1168" s="11">
        <v>21.7</v>
      </c>
      <c r="N1168" s="11">
        <v>16</v>
      </c>
      <c r="O1168" s="11">
        <v>8.3000000000000007</v>
      </c>
      <c r="P1168" s="11">
        <v>-0.9</v>
      </c>
      <c r="Q1168" s="11">
        <v>-7.3</v>
      </c>
      <c r="R1168" s="10">
        <v>7.6</v>
      </c>
      <c r="S1168" s="12">
        <v>534</v>
      </c>
      <c r="T1168" s="8" t="s">
        <v>498</v>
      </c>
      <c r="U1168" s="11">
        <v>-34</v>
      </c>
      <c r="V1168" s="11">
        <v>-32</v>
      </c>
      <c r="W1168" s="11">
        <v>-29</v>
      </c>
      <c r="X1168" s="11">
        <v>-26</v>
      </c>
      <c r="Y1168" s="11" t="s">
        <v>49</v>
      </c>
      <c r="Z1168" s="11" t="s">
        <v>44</v>
      </c>
      <c r="AA1168" s="11">
        <v>12.5</v>
      </c>
      <c r="AB1168" s="11">
        <v>125</v>
      </c>
      <c r="AC1168" s="11">
        <v>-6.6</v>
      </c>
      <c r="AD1168" s="11">
        <v>174</v>
      </c>
      <c r="AE1168" s="11">
        <v>-3.7</v>
      </c>
      <c r="AF1168" s="11">
        <v>187</v>
      </c>
      <c r="AG1168" s="11">
        <v>-2.8</v>
      </c>
      <c r="AH1168" s="11" t="s">
        <v>49</v>
      </c>
      <c r="AI1168" s="11" t="s">
        <v>49</v>
      </c>
      <c r="AJ1168" s="11">
        <v>169</v>
      </c>
      <c r="AK1168" s="11" t="s">
        <v>44</v>
      </c>
      <c r="AL1168" s="11" t="s">
        <v>44</v>
      </c>
      <c r="AM1168" s="10" t="s">
        <v>44</v>
      </c>
      <c r="AN1168" s="9">
        <v>534</v>
      </c>
      <c r="AO1168" s="8" t="s">
        <v>500</v>
      </c>
      <c r="AP1168" s="8" t="s">
        <v>499</v>
      </c>
      <c r="AQ1168" s="8" t="s">
        <v>50</v>
      </c>
      <c r="AR1168" s="8" t="s">
        <v>244</v>
      </c>
      <c r="AS1168" s="8">
        <v>30.8</v>
      </c>
      <c r="AT1168" s="8">
        <v>44</v>
      </c>
      <c r="AU1168" s="8">
        <v>15.5</v>
      </c>
      <c r="AV1168" s="8" t="s">
        <v>45</v>
      </c>
      <c r="AW1168" s="8" t="s">
        <v>44</v>
      </c>
      <c r="AX1168" s="8">
        <v>224</v>
      </c>
      <c r="AY1168" s="8" t="s">
        <v>64</v>
      </c>
      <c r="AZ1168" s="8" t="s">
        <v>114</v>
      </c>
      <c r="BA1168" s="7" t="s">
        <v>46</v>
      </c>
      <c r="BB1168" s="9"/>
      <c r="BC1168" s="8" t="s">
        <v>498</v>
      </c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7"/>
    </row>
    <row r="1169" spans="1:68" ht="14.25" customHeight="1">
      <c r="A1169" s="12">
        <v>512</v>
      </c>
      <c r="B1169" s="14">
        <v>310</v>
      </c>
      <c r="C1169" s="13" t="s">
        <v>30</v>
      </c>
      <c r="D1169" s="13" t="s">
        <v>497</v>
      </c>
      <c r="E1169" s="13" t="s">
        <v>494</v>
      </c>
      <c r="F1169" s="11">
        <v>-10.9</v>
      </c>
      <c r="G1169" s="11">
        <v>-10.3</v>
      </c>
      <c r="H1169" s="11">
        <v>-4.5999999999999996</v>
      </c>
      <c r="I1169" s="11">
        <v>6</v>
      </c>
      <c r="J1169" s="11">
        <v>14.1</v>
      </c>
      <c r="K1169" s="11">
        <v>18.100000000000001</v>
      </c>
      <c r="L1169" s="11">
        <v>19.8</v>
      </c>
      <c r="M1169" s="11">
        <v>18.600000000000001</v>
      </c>
      <c r="N1169" s="11">
        <v>12.5</v>
      </c>
      <c r="O1169" s="11">
        <v>5.2</v>
      </c>
      <c r="P1169" s="11">
        <v>-1.4</v>
      </c>
      <c r="Q1169" s="11">
        <v>-7.3</v>
      </c>
      <c r="R1169" s="10">
        <v>5</v>
      </c>
      <c r="S1169" s="12">
        <v>310</v>
      </c>
      <c r="T1169" s="8" t="s">
        <v>496</v>
      </c>
      <c r="U1169" s="11">
        <v>-34</v>
      </c>
      <c r="V1169" s="11">
        <v>-32</v>
      </c>
      <c r="W1169" s="11">
        <v>-30</v>
      </c>
      <c r="X1169" s="11">
        <v>-28</v>
      </c>
      <c r="Y1169" s="11">
        <v>-16</v>
      </c>
      <c r="Z1169" s="11">
        <v>-39</v>
      </c>
      <c r="AA1169" s="11">
        <v>6.7</v>
      </c>
      <c r="AB1169" s="11">
        <v>140</v>
      </c>
      <c r="AC1169" s="11">
        <v>-7</v>
      </c>
      <c r="AD1169" s="11">
        <v>201</v>
      </c>
      <c r="AE1169" s="11">
        <v>-3.7</v>
      </c>
      <c r="AF1169" s="11">
        <v>217</v>
      </c>
      <c r="AG1169" s="11">
        <v>-2.7</v>
      </c>
      <c r="AH1169" s="11">
        <v>84</v>
      </c>
      <c r="AI1169" s="11">
        <v>83</v>
      </c>
      <c r="AJ1169" s="11">
        <v>194</v>
      </c>
      <c r="AK1169" s="11" t="s">
        <v>27</v>
      </c>
      <c r="AL1169" s="11">
        <v>4.7</v>
      </c>
      <c r="AM1169" s="10">
        <v>4</v>
      </c>
      <c r="AN1169" s="9">
        <v>310</v>
      </c>
      <c r="AO1169" s="8" t="s">
        <v>495</v>
      </c>
      <c r="AP1169" s="8">
        <v>995</v>
      </c>
      <c r="AQ1169" s="8">
        <v>23.2</v>
      </c>
      <c r="AR1169" s="8">
        <v>27.3</v>
      </c>
      <c r="AS1169" s="8">
        <v>25.6</v>
      </c>
      <c r="AT1169" s="8">
        <v>38</v>
      </c>
      <c r="AU1169" s="8">
        <v>11.2</v>
      </c>
      <c r="AV1169" s="8">
        <v>67</v>
      </c>
      <c r="AW1169" s="8">
        <v>49</v>
      </c>
      <c r="AX1169" s="8">
        <v>366</v>
      </c>
      <c r="AY1169" s="8">
        <v>60</v>
      </c>
      <c r="AZ1169" s="8" t="s">
        <v>32</v>
      </c>
      <c r="BA1169" s="7">
        <v>2.8</v>
      </c>
      <c r="BB1169" s="9">
        <v>279</v>
      </c>
      <c r="BC1169" s="8" t="s">
        <v>494</v>
      </c>
      <c r="BD1169" s="8">
        <v>2.7</v>
      </c>
      <c r="BE1169" s="8">
        <v>2.8</v>
      </c>
      <c r="BF1169" s="8">
        <v>3.9</v>
      </c>
      <c r="BG1169" s="8">
        <v>6.7</v>
      </c>
      <c r="BH1169" s="8">
        <v>9.3000000000000007</v>
      </c>
      <c r="BI1169" s="8">
        <v>12.6</v>
      </c>
      <c r="BJ1169" s="8">
        <v>15</v>
      </c>
      <c r="BK1169" s="8">
        <v>13.9</v>
      </c>
      <c r="BL1169" s="8">
        <v>10.199999999999999</v>
      </c>
      <c r="BM1169" s="8">
        <v>7</v>
      </c>
      <c r="BN1169" s="8">
        <v>5</v>
      </c>
      <c r="BO1169" s="8">
        <v>3.6</v>
      </c>
      <c r="BP1169" s="7">
        <v>7.7</v>
      </c>
    </row>
    <row r="1170" spans="1:68" ht="14.25" customHeight="1">
      <c r="A1170" s="12">
        <v>513</v>
      </c>
      <c r="B1170" s="14">
        <v>243</v>
      </c>
      <c r="C1170" s="13" t="s">
        <v>30</v>
      </c>
      <c r="D1170" s="13" t="s">
        <v>181</v>
      </c>
      <c r="E1170" s="13" t="s">
        <v>491</v>
      </c>
      <c r="F1170" s="11">
        <v>-19.899999999999999</v>
      </c>
      <c r="G1170" s="11">
        <v>-18</v>
      </c>
      <c r="H1170" s="11">
        <v>-11.4</v>
      </c>
      <c r="I1170" s="11">
        <v>-0.1</v>
      </c>
      <c r="J1170" s="11">
        <v>9.1</v>
      </c>
      <c r="K1170" s="11">
        <v>15.5</v>
      </c>
      <c r="L1170" s="11">
        <v>17.7</v>
      </c>
      <c r="M1170" s="11">
        <v>14.8</v>
      </c>
      <c r="N1170" s="11">
        <v>9.1999999999999993</v>
      </c>
      <c r="O1170" s="11">
        <v>0.8</v>
      </c>
      <c r="P1170" s="11">
        <v>-9.8000000000000007</v>
      </c>
      <c r="Q1170" s="11">
        <v>-17.2</v>
      </c>
      <c r="R1170" s="10">
        <v>-0.8</v>
      </c>
      <c r="S1170" s="12">
        <v>243</v>
      </c>
      <c r="T1170" s="8" t="s">
        <v>493</v>
      </c>
      <c r="U1170" s="11">
        <v>-46</v>
      </c>
      <c r="V1170" s="11">
        <v>-43</v>
      </c>
      <c r="W1170" s="11">
        <v>-42</v>
      </c>
      <c r="X1170" s="11">
        <v>-40</v>
      </c>
      <c r="Y1170" s="11">
        <v>-25</v>
      </c>
      <c r="Z1170" s="11">
        <v>-50</v>
      </c>
      <c r="AA1170" s="11">
        <v>9.4</v>
      </c>
      <c r="AB1170" s="11">
        <v>180</v>
      </c>
      <c r="AC1170" s="11">
        <v>-12.8</v>
      </c>
      <c r="AD1170" s="11">
        <v>234</v>
      </c>
      <c r="AE1170" s="11">
        <v>-8.8000000000000007</v>
      </c>
      <c r="AF1170" s="11">
        <v>251</v>
      </c>
      <c r="AG1170" s="11">
        <v>-7.6</v>
      </c>
      <c r="AH1170" s="11">
        <v>83</v>
      </c>
      <c r="AI1170" s="11">
        <v>81</v>
      </c>
      <c r="AJ1170" s="11">
        <v>157</v>
      </c>
      <c r="AK1170" s="11" t="s">
        <v>27</v>
      </c>
      <c r="AL1170" s="11">
        <v>4.5</v>
      </c>
      <c r="AM1170" s="10" t="s">
        <v>44</v>
      </c>
      <c r="AN1170" s="9">
        <v>243</v>
      </c>
      <c r="AO1170" s="8" t="s">
        <v>492</v>
      </c>
      <c r="AP1170" s="8">
        <v>1000</v>
      </c>
      <c r="AQ1170" s="8">
        <v>21.1</v>
      </c>
      <c r="AR1170" s="8">
        <v>25.3</v>
      </c>
      <c r="AS1170" s="8">
        <v>23.5</v>
      </c>
      <c r="AT1170" s="8">
        <v>39</v>
      </c>
      <c r="AU1170" s="8">
        <v>11.7</v>
      </c>
      <c r="AV1170" s="8">
        <v>75</v>
      </c>
      <c r="AW1170" s="8">
        <v>62</v>
      </c>
      <c r="AX1170" s="8">
        <v>403</v>
      </c>
      <c r="AY1170" s="8">
        <v>79</v>
      </c>
      <c r="AZ1170" s="8" t="s">
        <v>54</v>
      </c>
      <c r="BA1170" s="7">
        <v>3.7</v>
      </c>
      <c r="BB1170" s="9">
        <v>214</v>
      </c>
      <c r="BC1170" s="8" t="s">
        <v>491</v>
      </c>
      <c r="BD1170" s="8">
        <v>1.3</v>
      </c>
      <c r="BE1170" s="8">
        <v>1.5</v>
      </c>
      <c r="BF1170" s="8">
        <v>2.2999999999999998</v>
      </c>
      <c r="BG1170" s="8">
        <v>5</v>
      </c>
      <c r="BH1170" s="8">
        <v>7.7</v>
      </c>
      <c r="BI1170" s="8">
        <v>12.1</v>
      </c>
      <c r="BJ1170" s="8">
        <v>15.4</v>
      </c>
      <c r="BK1170" s="8">
        <v>13.7</v>
      </c>
      <c r="BL1170" s="8">
        <v>9.5</v>
      </c>
      <c r="BM1170" s="8">
        <v>5.5</v>
      </c>
      <c r="BN1170" s="8">
        <v>3</v>
      </c>
      <c r="BO1170" s="8">
        <v>1.7</v>
      </c>
      <c r="BP1170" s="7">
        <v>6.6</v>
      </c>
    </row>
    <row r="1171" spans="1:68" ht="14.25" customHeight="1">
      <c r="A1171" s="12">
        <v>514</v>
      </c>
      <c r="B1171" s="14">
        <v>334</v>
      </c>
      <c r="C1171" s="13" t="s">
        <v>30</v>
      </c>
      <c r="D1171" s="13" t="s">
        <v>259</v>
      </c>
      <c r="E1171" s="13" t="s">
        <v>488</v>
      </c>
      <c r="F1171" s="11">
        <v>-25.1</v>
      </c>
      <c r="G1171" s="11">
        <v>-24.4</v>
      </c>
      <c r="H1171" s="11">
        <v>-18</v>
      </c>
      <c r="I1171" s="11">
        <v>-8.1</v>
      </c>
      <c r="J1171" s="11">
        <v>-0.7</v>
      </c>
      <c r="K1171" s="11">
        <v>9.8000000000000007</v>
      </c>
      <c r="L1171" s="11">
        <v>15.8</v>
      </c>
      <c r="M1171" s="11">
        <v>12</v>
      </c>
      <c r="N1171" s="11">
        <v>6</v>
      </c>
      <c r="O1171" s="11">
        <v>-5</v>
      </c>
      <c r="P1171" s="11">
        <v>-16.8</v>
      </c>
      <c r="Q1171" s="11">
        <v>-23.1</v>
      </c>
      <c r="R1171" s="10">
        <v>-6.5</v>
      </c>
      <c r="S1171" s="12">
        <v>334</v>
      </c>
      <c r="T1171" s="8" t="s">
        <v>490</v>
      </c>
      <c r="U1171" s="11">
        <v>-53</v>
      </c>
      <c r="V1171" s="11">
        <v>-50</v>
      </c>
      <c r="W1171" s="11">
        <v>-48</v>
      </c>
      <c r="X1171" s="11">
        <v>-46</v>
      </c>
      <c r="Y1171" s="11">
        <v>-30</v>
      </c>
      <c r="Z1171" s="11">
        <v>-55</v>
      </c>
      <c r="AA1171" s="11">
        <v>9.9</v>
      </c>
      <c r="AB1171" s="11">
        <v>228</v>
      </c>
      <c r="AC1171" s="11">
        <v>-15.8</v>
      </c>
      <c r="AD1171" s="11">
        <v>278</v>
      </c>
      <c r="AE1171" s="11">
        <v>-12.2</v>
      </c>
      <c r="AF1171" s="11">
        <v>294</v>
      </c>
      <c r="AG1171" s="11">
        <v>-11</v>
      </c>
      <c r="AH1171" s="11">
        <v>79</v>
      </c>
      <c r="AI1171" s="11">
        <v>79</v>
      </c>
      <c r="AJ1171" s="11">
        <v>123</v>
      </c>
      <c r="AK1171" s="11" t="s">
        <v>34</v>
      </c>
      <c r="AL1171" s="11">
        <v>5</v>
      </c>
      <c r="AM1171" s="10">
        <v>3.7</v>
      </c>
      <c r="AN1171" s="9">
        <v>334</v>
      </c>
      <c r="AO1171" s="8" t="s">
        <v>489</v>
      </c>
      <c r="AP1171" s="8">
        <v>1000</v>
      </c>
      <c r="AQ1171" s="8">
        <v>18.8</v>
      </c>
      <c r="AR1171" s="8">
        <v>23.1</v>
      </c>
      <c r="AS1171" s="8">
        <v>21.2</v>
      </c>
      <c r="AT1171" s="8">
        <v>36</v>
      </c>
      <c r="AU1171" s="8">
        <v>10.5</v>
      </c>
      <c r="AV1171" s="8">
        <v>69</v>
      </c>
      <c r="AW1171" s="8">
        <v>56</v>
      </c>
      <c r="AX1171" s="8">
        <v>375</v>
      </c>
      <c r="AY1171" s="8">
        <v>86</v>
      </c>
      <c r="AZ1171" s="8" t="s">
        <v>54</v>
      </c>
      <c r="BA1171" s="7">
        <v>0</v>
      </c>
      <c r="BB1171" s="9">
        <v>302</v>
      </c>
      <c r="BC1171" s="8" t="s">
        <v>488</v>
      </c>
      <c r="BD1171" s="8">
        <v>1</v>
      </c>
      <c r="BE1171" s="8">
        <v>10</v>
      </c>
      <c r="BF1171" s="8">
        <v>1.6</v>
      </c>
      <c r="BG1171" s="8">
        <v>2.9</v>
      </c>
      <c r="BH1171" s="8">
        <v>4.5</v>
      </c>
      <c r="BI1171" s="8">
        <v>8.6</v>
      </c>
      <c r="BJ1171" s="8">
        <v>12.5</v>
      </c>
      <c r="BK1171" s="8">
        <v>11</v>
      </c>
      <c r="BL1171" s="8">
        <v>8</v>
      </c>
      <c r="BM1171" s="8">
        <v>4.0999999999999996</v>
      </c>
      <c r="BN1171" s="8">
        <v>1.9</v>
      </c>
      <c r="BO1171" s="8">
        <v>1.2</v>
      </c>
      <c r="BP1171" s="7">
        <v>4.9000000000000004</v>
      </c>
    </row>
    <row r="1172" spans="1:68" ht="14.25" customHeight="1">
      <c r="A1172" s="12">
        <v>515</v>
      </c>
      <c r="B1172" s="14">
        <v>239</v>
      </c>
      <c r="C1172" s="13" t="s">
        <v>30</v>
      </c>
      <c r="D1172" s="13" t="s">
        <v>149</v>
      </c>
      <c r="E1172" s="13" t="s">
        <v>485</v>
      </c>
      <c r="F1172" s="11">
        <v>-19.600000000000001</v>
      </c>
      <c r="G1172" s="11">
        <v>-18</v>
      </c>
      <c r="H1172" s="11">
        <v>-11.1</v>
      </c>
      <c r="I1172" s="11">
        <v>1.2</v>
      </c>
      <c r="J1172" s="11">
        <v>10.7</v>
      </c>
      <c r="K1172" s="11">
        <v>16</v>
      </c>
      <c r="L1172" s="11">
        <v>18.7</v>
      </c>
      <c r="M1172" s="11">
        <v>15.6</v>
      </c>
      <c r="N1172" s="11">
        <v>10.1</v>
      </c>
      <c r="O1172" s="11">
        <v>1.4</v>
      </c>
      <c r="P1172" s="11">
        <v>-8.8000000000000007</v>
      </c>
      <c r="Q1172" s="11">
        <v>-16.399999999999999</v>
      </c>
      <c r="R1172" s="10">
        <v>0</v>
      </c>
      <c r="S1172" s="12">
        <v>239</v>
      </c>
      <c r="T1172" s="8" t="s">
        <v>487</v>
      </c>
      <c r="U1172" s="11">
        <v>-43</v>
      </c>
      <c r="V1172" s="11">
        <v>-41</v>
      </c>
      <c r="W1172" s="11">
        <v>-40</v>
      </c>
      <c r="X1172" s="11">
        <v>-39</v>
      </c>
      <c r="Y1172" s="11">
        <v>-25</v>
      </c>
      <c r="Z1172" s="11">
        <v>-48</v>
      </c>
      <c r="AA1172" s="11">
        <v>9.6</v>
      </c>
      <c r="AB1172" s="11">
        <v>176</v>
      </c>
      <c r="AC1172" s="11">
        <v>-12.8</v>
      </c>
      <c r="AD1172" s="11">
        <v>229</v>
      </c>
      <c r="AE1172" s="11">
        <v>-8.9</v>
      </c>
      <c r="AF1172" s="11">
        <v>242</v>
      </c>
      <c r="AG1172" s="11">
        <v>-7.9</v>
      </c>
      <c r="AH1172" s="11">
        <v>83</v>
      </c>
      <c r="AI1172" s="11">
        <v>82</v>
      </c>
      <c r="AJ1172" s="11">
        <v>84</v>
      </c>
      <c r="AK1172" s="11" t="s">
        <v>39</v>
      </c>
      <c r="AL1172" s="11">
        <v>4.8</v>
      </c>
      <c r="AM1172" s="10">
        <v>4.9000000000000004</v>
      </c>
      <c r="AN1172" s="9">
        <v>239</v>
      </c>
      <c r="AO1172" s="8" t="s">
        <v>486</v>
      </c>
      <c r="AP1172" s="8">
        <v>995</v>
      </c>
      <c r="AQ1172" s="8">
        <v>22.4</v>
      </c>
      <c r="AR1172" s="8">
        <v>26.6</v>
      </c>
      <c r="AS1172" s="8">
        <v>24.8</v>
      </c>
      <c r="AT1172" s="8">
        <v>40</v>
      </c>
      <c r="AU1172" s="8">
        <v>12.5</v>
      </c>
      <c r="AV1172" s="8">
        <v>71</v>
      </c>
      <c r="AW1172" s="8">
        <v>53</v>
      </c>
      <c r="AX1172" s="8">
        <v>286</v>
      </c>
      <c r="AY1172" s="8">
        <v>83</v>
      </c>
      <c r="AZ1172" s="8" t="s">
        <v>54</v>
      </c>
      <c r="BA1172" s="7">
        <v>3.9</v>
      </c>
      <c r="BB1172" s="9">
        <v>211</v>
      </c>
      <c r="BC1172" s="8" t="s">
        <v>485</v>
      </c>
      <c r="BD1172" s="8">
        <v>1.4</v>
      </c>
      <c r="BE1172" s="8">
        <v>1.5</v>
      </c>
      <c r="BF1172" s="8">
        <v>2.6</v>
      </c>
      <c r="BG1172" s="8">
        <v>5.2</v>
      </c>
      <c r="BH1172" s="8">
        <v>7.4</v>
      </c>
      <c r="BI1172" s="8">
        <v>11.6</v>
      </c>
      <c r="BJ1172" s="8">
        <v>14.8</v>
      </c>
      <c r="BK1172" s="8">
        <v>12.8</v>
      </c>
      <c r="BL1172" s="8">
        <v>8.8000000000000007</v>
      </c>
      <c r="BM1172" s="8">
        <v>5.3</v>
      </c>
      <c r="BN1172" s="8">
        <v>3.1</v>
      </c>
      <c r="BO1172" s="8">
        <v>1.9</v>
      </c>
      <c r="BP1172" s="7">
        <v>6.4</v>
      </c>
    </row>
    <row r="1173" spans="1:68" ht="14.25" customHeight="1">
      <c r="A1173" s="12">
        <v>516</v>
      </c>
      <c r="B1173" s="14">
        <v>565</v>
      </c>
      <c r="C1173" s="17" t="s">
        <v>208</v>
      </c>
      <c r="D1173" s="17" t="s">
        <v>484</v>
      </c>
      <c r="E1173" s="13" t="s">
        <v>482</v>
      </c>
      <c r="F1173" s="11"/>
      <c r="G1173" s="11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0"/>
      <c r="S1173" s="16">
        <v>565</v>
      </c>
      <c r="T1173" s="8" t="s">
        <v>482</v>
      </c>
      <c r="U1173" s="11">
        <v>-20</v>
      </c>
      <c r="V1173" s="11">
        <v>-16</v>
      </c>
      <c r="W1173" s="11">
        <v>-15</v>
      </c>
      <c r="X1173" s="11">
        <v>-12</v>
      </c>
      <c r="Y1173" s="11">
        <v>-5</v>
      </c>
      <c r="Z1173" s="11">
        <v>-27</v>
      </c>
      <c r="AA1173" s="11">
        <v>10</v>
      </c>
      <c r="AB1173" s="11">
        <v>0</v>
      </c>
      <c r="AC1173" s="11" t="s">
        <v>50</v>
      </c>
      <c r="AD1173" s="11">
        <v>104</v>
      </c>
      <c r="AE1173" s="11">
        <v>4.3</v>
      </c>
      <c r="AF1173" s="11">
        <v>125</v>
      </c>
      <c r="AG1173" s="11">
        <v>5.0999999999999996</v>
      </c>
      <c r="AH1173" s="11" t="s">
        <v>49</v>
      </c>
      <c r="AI1173" s="11">
        <v>69</v>
      </c>
      <c r="AJ1173" s="11">
        <v>205</v>
      </c>
      <c r="AK1173" s="11" t="s">
        <v>27</v>
      </c>
      <c r="AL1173" s="11">
        <v>3.3</v>
      </c>
      <c r="AM1173" s="10" t="s">
        <v>44</v>
      </c>
      <c r="AN1173" s="9">
        <v>566</v>
      </c>
      <c r="AO1173" s="8" t="s">
        <v>483</v>
      </c>
      <c r="AP1173" s="8">
        <v>975</v>
      </c>
      <c r="AQ1173" s="8">
        <v>42</v>
      </c>
      <c r="AR1173" s="8">
        <v>36</v>
      </c>
      <c r="AS1173" s="8">
        <v>39.4</v>
      </c>
      <c r="AT1173" s="8">
        <v>48</v>
      </c>
      <c r="AU1173" s="8">
        <v>17.5</v>
      </c>
      <c r="AV1173" s="8">
        <v>23</v>
      </c>
      <c r="AW1173" s="8">
        <v>14</v>
      </c>
      <c r="AX1173" s="8">
        <v>60</v>
      </c>
      <c r="AY1173" s="8">
        <v>63</v>
      </c>
      <c r="AZ1173" s="8" t="s">
        <v>32</v>
      </c>
      <c r="BA1173" s="7">
        <v>2.9</v>
      </c>
      <c r="BB1173" s="9"/>
      <c r="BC1173" s="8" t="s">
        <v>482</v>
      </c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7"/>
    </row>
    <row r="1174" spans="1:68" ht="14.25" customHeight="1">
      <c r="A1174" s="12">
        <v>517</v>
      </c>
      <c r="B1174" s="14">
        <v>566</v>
      </c>
      <c r="C1174" s="17" t="s">
        <v>208</v>
      </c>
      <c r="D1174" s="17" t="s">
        <v>481</v>
      </c>
      <c r="E1174" s="13" t="s">
        <v>479</v>
      </c>
      <c r="F1174" s="11"/>
      <c r="G1174" s="11"/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  <c r="R1174" s="10"/>
      <c r="S1174" s="16">
        <v>566</v>
      </c>
      <c r="T1174" s="8" t="s">
        <v>479</v>
      </c>
      <c r="U1174" s="11">
        <v>-24</v>
      </c>
      <c r="V1174" s="11">
        <v>-21</v>
      </c>
      <c r="W1174" s="11">
        <v>-21</v>
      </c>
      <c r="X1174" s="11">
        <v>-17</v>
      </c>
      <c r="Y1174" s="11">
        <v>-8</v>
      </c>
      <c r="Z1174" s="11">
        <v>-33</v>
      </c>
      <c r="AA1174" s="11">
        <v>9.6</v>
      </c>
      <c r="AB1174" s="11">
        <v>81</v>
      </c>
      <c r="AC1174" s="11">
        <v>-0.8</v>
      </c>
      <c r="AD1174" s="11">
        <v>147</v>
      </c>
      <c r="AE1174" s="11">
        <v>-0.1</v>
      </c>
      <c r="AF1174" s="11">
        <v>160</v>
      </c>
      <c r="AG1174" s="11">
        <v>0.6</v>
      </c>
      <c r="AH1174" s="11" t="s">
        <v>49</v>
      </c>
      <c r="AI1174" s="11">
        <v>65</v>
      </c>
      <c r="AJ1174" s="11">
        <v>60</v>
      </c>
      <c r="AK1174" s="11" t="s">
        <v>66</v>
      </c>
      <c r="AL1174" s="11">
        <v>5.9</v>
      </c>
      <c r="AM1174" s="10" t="s">
        <v>44</v>
      </c>
      <c r="AN1174" s="9">
        <v>567</v>
      </c>
      <c r="AO1174" s="8" t="s">
        <v>480</v>
      </c>
      <c r="AP1174" s="8">
        <v>1005</v>
      </c>
      <c r="AQ1174" s="8">
        <v>38</v>
      </c>
      <c r="AR1174" s="8">
        <v>32</v>
      </c>
      <c r="AS1174" s="8">
        <v>36.200000000000003</v>
      </c>
      <c r="AT1174" s="8">
        <v>46</v>
      </c>
      <c r="AU1174" s="8">
        <v>14.9</v>
      </c>
      <c r="AV1174" s="8">
        <v>41</v>
      </c>
      <c r="AW1174" s="8">
        <v>25</v>
      </c>
      <c r="AX1174" s="8">
        <v>49</v>
      </c>
      <c r="AY1174" s="8">
        <v>74</v>
      </c>
      <c r="AZ1174" s="8" t="s">
        <v>32</v>
      </c>
      <c r="BA1174" s="7">
        <v>1.9</v>
      </c>
      <c r="BB1174" s="9"/>
      <c r="BC1174" s="8" t="s">
        <v>479</v>
      </c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7"/>
    </row>
    <row r="1175" spans="1:68" ht="14.25" customHeight="1">
      <c r="A1175" s="12">
        <v>518</v>
      </c>
      <c r="B1175" s="14">
        <v>602</v>
      </c>
      <c r="C1175" s="13" t="s">
        <v>117</v>
      </c>
      <c r="D1175" s="13" t="s">
        <v>211</v>
      </c>
      <c r="E1175" s="13" t="s">
        <v>477</v>
      </c>
      <c r="F1175" s="11">
        <v>-0.4</v>
      </c>
      <c r="G1175" s="11">
        <v>2</v>
      </c>
      <c r="H1175" s="11">
        <v>7.9</v>
      </c>
      <c r="I1175" s="11">
        <v>14.7</v>
      </c>
      <c r="J1175" s="11">
        <v>20.2</v>
      </c>
      <c r="K1175" s="11">
        <v>24.9</v>
      </c>
      <c r="L1175" s="11">
        <v>27.1</v>
      </c>
      <c r="M1175" s="11">
        <v>25.1</v>
      </c>
      <c r="N1175" s="11">
        <v>19.600000000000001</v>
      </c>
      <c r="O1175" s="11">
        <v>12.8</v>
      </c>
      <c r="P1175" s="11">
        <v>6.7</v>
      </c>
      <c r="Q1175" s="11">
        <v>2</v>
      </c>
      <c r="R1175" s="10">
        <v>13.6</v>
      </c>
      <c r="S1175" s="12">
        <v>591</v>
      </c>
      <c r="T1175" s="8" t="s">
        <v>477</v>
      </c>
      <c r="U1175" s="11">
        <v>-19</v>
      </c>
      <c r="V1175" s="11">
        <v>-16</v>
      </c>
      <c r="W1175" s="11">
        <v>-16</v>
      </c>
      <c r="X1175" s="11" t="s">
        <v>64</v>
      </c>
      <c r="Y1175" s="11">
        <v>-4</v>
      </c>
      <c r="Z1175" s="11">
        <v>-30</v>
      </c>
      <c r="AA1175" s="11">
        <v>9.6</v>
      </c>
      <c r="AB1175" s="11">
        <v>30</v>
      </c>
      <c r="AC1175" s="11" t="s">
        <v>45</v>
      </c>
      <c r="AD1175" s="11">
        <v>129</v>
      </c>
      <c r="AE1175" s="11">
        <v>2.7</v>
      </c>
      <c r="AF1175" s="11" t="s">
        <v>114</v>
      </c>
      <c r="AG1175" s="11" t="s">
        <v>44</v>
      </c>
      <c r="AH1175" s="11" t="s">
        <v>49</v>
      </c>
      <c r="AI1175" s="11" t="s">
        <v>49</v>
      </c>
      <c r="AJ1175" s="11" t="s">
        <v>84</v>
      </c>
      <c r="AK1175" s="11" t="s">
        <v>44</v>
      </c>
      <c r="AL1175" s="11">
        <v>2.1</v>
      </c>
      <c r="AM1175" s="10" t="s">
        <v>44</v>
      </c>
      <c r="AN1175" s="9">
        <v>592</v>
      </c>
      <c r="AO1175" s="8" t="s">
        <v>478</v>
      </c>
      <c r="AP1175" s="8">
        <v>950</v>
      </c>
      <c r="AQ1175" s="8">
        <v>33</v>
      </c>
      <c r="AR1175" s="8">
        <v>37.5</v>
      </c>
      <c r="AS1175" s="8">
        <v>35.4</v>
      </c>
      <c r="AT1175" s="8">
        <v>45</v>
      </c>
      <c r="AU1175" s="8">
        <v>16.8</v>
      </c>
      <c r="AV1175" s="8" t="s">
        <v>45</v>
      </c>
      <c r="AW1175" s="8" t="s">
        <v>44</v>
      </c>
      <c r="AX1175" s="8" t="s">
        <v>44</v>
      </c>
      <c r="AY1175" s="8">
        <v>50</v>
      </c>
      <c r="AZ1175" s="8" t="s">
        <v>114</v>
      </c>
      <c r="BA1175" s="7">
        <v>1.4</v>
      </c>
      <c r="BB1175" s="9"/>
      <c r="BC1175" s="8" t="s">
        <v>477</v>
      </c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7"/>
    </row>
    <row r="1176" spans="1:68" ht="14.25" customHeight="1">
      <c r="A1176" s="12">
        <v>519</v>
      </c>
      <c r="B1176" s="14">
        <v>487</v>
      </c>
      <c r="C1176" s="13" t="s">
        <v>105</v>
      </c>
      <c r="D1176" s="13" t="s">
        <v>105</v>
      </c>
      <c r="E1176" s="13" t="s">
        <v>476</v>
      </c>
      <c r="F1176" s="11">
        <v>2.1</v>
      </c>
      <c r="G1176" s="11">
        <v>3.3</v>
      </c>
      <c r="H1176" s="11">
        <v>7.4</v>
      </c>
      <c r="I1176" s="11">
        <v>13.2</v>
      </c>
      <c r="J1176" s="11">
        <v>17.8</v>
      </c>
      <c r="K1176" s="11">
        <v>21.6</v>
      </c>
      <c r="L1176" s="11">
        <v>24.8</v>
      </c>
      <c r="M1176" s="11">
        <v>24.1</v>
      </c>
      <c r="N1176" s="11">
        <v>20</v>
      </c>
      <c r="O1176" s="11">
        <v>13.8</v>
      </c>
      <c r="P1176" s="11">
        <v>8.5</v>
      </c>
      <c r="Q1176" s="11">
        <v>4.2</v>
      </c>
      <c r="R1176" s="10">
        <v>13.4</v>
      </c>
      <c r="S1176" s="12">
        <v>487</v>
      </c>
      <c r="T1176" s="8" t="s">
        <v>474</v>
      </c>
      <c r="U1176" s="11">
        <v>-14</v>
      </c>
      <c r="V1176" s="11">
        <v>-11</v>
      </c>
      <c r="W1176" s="11">
        <v>-10</v>
      </c>
      <c r="X1176" s="11">
        <v>-8</v>
      </c>
      <c r="Y1176" s="11">
        <v>1</v>
      </c>
      <c r="Z1176" s="11">
        <v>-22</v>
      </c>
      <c r="AA1176" s="11">
        <v>7.4</v>
      </c>
      <c r="AB1176" s="11">
        <v>0</v>
      </c>
      <c r="AC1176" s="11" t="s">
        <v>50</v>
      </c>
      <c r="AD1176" s="11">
        <v>121</v>
      </c>
      <c r="AE1176" s="11">
        <v>4.0999999999999996</v>
      </c>
      <c r="AF1176" s="11">
        <v>143</v>
      </c>
      <c r="AG1176" s="11">
        <v>5.3</v>
      </c>
      <c r="AH1176" s="11" t="s">
        <v>49</v>
      </c>
      <c r="AI1176" s="11">
        <v>57</v>
      </c>
      <c r="AJ1176" s="11">
        <v>120</v>
      </c>
      <c r="AK1176" s="11" t="s">
        <v>75</v>
      </c>
      <c r="AL1176" s="11" t="s">
        <v>44</v>
      </c>
      <c r="AM1176" s="10">
        <v>2.9</v>
      </c>
      <c r="AN1176" s="9">
        <v>487</v>
      </c>
      <c r="AO1176" s="8" t="s">
        <v>475</v>
      </c>
      <c r="AP1176" s="8">
        <v>970</v>
      </c>
      <c r="AQ1176" s="8">
        <v>27</v>
      </c>
      <c r="AR1176" s="8">
        <v>34</v>
      </c>
      <c r="AS1176" s="8">
        <v>32.6</v>
      </c>
      <c r="AT1176" s="8">
        <v>41</v>
      </c>
      <c r="AU1176" s="8">
        <v>12</v>
      </c>
      <c r="AV1176" s="8">
        <v>58</v>
      </c>
      <c r="AW1176" s="8">
        <v>41</v>
      </c>
      <c r="AX1176" s="8" t="s">
        <v>44</v>
      </c>
      <c r="AY1176" s="8">
        <v>139</v>
      </c>
      <c r="AZ1176" s="8" t="s">
        <v>54</v>
      </c>
      <c r="BA1176" s="7">
        <v>0.9</v>
      </c>
      <c r="BB1176" s="9"/>
      <c r="BC1176" s="8" t="s">
        <v>474</v>
      </c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7"/>
    </row>
    <row r="1177" spans="1:68" ht="14.25" customHeight="1">
      <c r="A1177" s="12">
        <v>520</v>
      </c>
      <c r="B1177" s="14">
        <v>315</v>
      </c>
      <c r="C1177" s="13" t="s">
        <v>30</v>
      </c>
      <c r="D1177" s="13" t="s">
        <v>473</v>
      </c>
      <c r="E1177" s="13" t="s">
        <v>470</v>
      </c>
      <c r="F1177" s="11">
        <v>-10.5</v>
      </c>
      <c r="G1177" s="11">
        <v>-9.4</v>
      </c>
      <c r="H1177" s="11">
        <v>-4.5999999999999996</v>
      </c>
      <c r="I1177" s="11">
        <v>4.0999999999999996</v>
      </c>
      <c r="J1177" s="11">
        <v>11.2</v>
      </c>
      <c r="K1177" s="11">
        <v>15.7</v>
      </c>
      <c r="L1177" s="11">
        <v>17.3</v>
      </c>
      <c r="M1177" s="11">
        <v>15.8</v>
      </c>
      <c r="N1177" s="11">
        <v>10.199999999999999</v>
      </c>
      <c r="O1177" s="11">
        <v>4</v>
      </c>
      <c r="P1177" s="11">
        <v>-1.8</v>
      </c>
      <c r="Q1177" s="11">
        <v>-6.6</v>
      </c>
      <c r="R1177" s="10">
        <v>3.8</v>
      </c>
      <c r="S1177" s="12">
        <v>315</v>
      </c>
      <c r="T1177" s="8" t="s">
        <v>472</v>
      </c>
      <c r="U1177" s="11">
        <v>-37</v>
      </c>
      <c r="V1177" s="11">
        <v>-33</v>
      </c>
      <c r="W1177" s="11">
        <v>-33</v>
      </c>
      <c r="X1177" s="11">
        <v>-29</v>
      </c>
      <c r="Y1177" s="11">
        <v>-15</v>
      </c>
      <c r="Z1177" s="11">
        <v>-50</v>
      </c>
      <c r="AA1177" s="11">
        <v>7.2</v>
      </c>
      <c r="AB1177" s="11">
        <v>146</v>
      </c>
      <c r="AC1177" s="11">
        <v>-6.4</v>
      </c>
      <c r="AD1177" s="11">
        <v>218</v>
      </c>
      <c r="AE1177" s="11">
        <v>-3</v>
      </c>
      <c r="AF1177" s="11">
        <v>236</v>
      </c>
      <c r="AG1177" s="11">
        <v>-2</v>
      </c>
      <c r="AH1177" s="11">
        <v>85</v>
      </c>
      <c r="AI1177" s="11">
        <v>85</v>
      </c>
      <c r="AJ1177" s="11">
        <v>206</v>
      </c>
      <c r="AK1177" s="11" t="s">
        <v>39</v>
      </c>
      <c r="AL1177" s="11">
        <v>6.2</v>
      </c>
      <c r="AM1177" s="10">
        <v>4.0999999999999996</v>
      </c>
      <c r="AN1177" s="9">
        <v>315</v>
      </c>
      <c r="AO1177" s="8" t="s">
        <v>471</v>
      </c>
      <c r="AP1177" s="8">
        <v>995</v>
      </c>
      <c r="AQ1177" s="8">
        <v>20.6</v>
      </c>
      <c r="AR1177" s="8">
        <v>24.8</v>
      </c>
      <c r="AS1177" s="8">
        <v>23</v>
      </c>
      <c r="AT1177" s="8">
        <v>36</v>
      </c>
      <c r="AU1177" s="8">
        <v>11.1</v>
      </c>
      <c r="AV1177" s="8">
        <v>75</v>
      </c>
      <c r="AW1177" s="8">
        <v>59</v>
      </c>
      <c r="AX1177" s="8">
        <v>444</v>
      </c>
      <c r="AY1177" s="8">
        <v>68</v>
      </c>
      <c r="AZ1177" s="8" t="s">
        <v>43</v>
      </c>
      <c r="BA1177" s="7">
        <v>0</v>
      </c>
      <c r="BB1177" s="9">
        <v>283</v>
      </c>
      <c r="BC1177" s="8" t="s">
        <v>470</v>
      </c>
      <c r="BD1177" s="8">
        <v>2.8</v>
      </c>
      <c r="BE1177" s="8">
        <v>2.9</v>
      </c>
      <c r="BF1177" s="8">
        <v>3.8</v>
      </c>
      <c r="BG1177" s="8">
        <v>6.1</v>
      </c>
      <c r="BH1177" s="8">
        <v>9</v>
      </c>
      <c r="BI1177" s="8">
        <v>12.4</v>
      </c>
      <c r="BJ1177" s="8">
        <v>14.7</v>
      </c>
      <c r="BK1177" s="8">
        <v>13.9</v>
      </c>
      <c r="BL1177" s="8">
        <v>10.3</v>
      </c>
      <c r="BM1177" s="8">
        <v>7.1</v>
      </c>
      <c r="BN1177" s="8">
        <v>5</v>
      </c>
      <c r="BO1177" s="8">
        <v>3.7</v>
      </c>
      <c r="BP1177" s="7">
        <v>7.6</v>
      </c>
    </row>
    <row r="1178" spans="1:68" ht="14.25" customHeight="1">
      <c r="A1178" s="12">
        <v>521</v>
      </c>
      <c r="B1178" s="14">
        <v>553</v>
      </c>
      <c r="C1178" s="17" t="s">
        <v>208</v>
      </c>
      <c r="D1178" s="17" t="s">
        <v>469</v>
      </c>
      <c r="E1178" s="13" t="s">
        <v>467</v>
      </c>
      <c r="F1178" s="11"/>
      <c r="G1178" s="11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0"/>
      <c r="S1178" s="16">
        <v>553</v>
      </c>
      <c r="T1178" s="8" t="s">
        <v>467</v>
      </c>
      <c r="U1178" s="11">
        <v>-20</v>
      </c>
      <c r="V1178" s="11">
        <v>-16</v>
      </c>
      <c r="W1178" s="11">
        <v>-15</v>
      </c>
      <c r="X1178" s="11">
        <v>-12</v>
      </c>
      <c r="Y1178" s="11">
        <v>-5</v>
      </c>
      <c r="Z1178" s="11">
        <v>-27</v>
      </c>
      <c r="AA1178" s="11">
        <v>10.6</v>
      </c>
      <c r="AB1178" s="11">
        <v>0</v>
      </c>
      <c r="AC1178" s="11" t="s">
        <v>50</v>
      </c>
      <c r="AD1178" s="11">
        <v>103</v>
      </c>
      <c r="AE1178" s="11">
        <v>3.8</v>
      </c>
      <c r="AF1178" s="11">
        <v>123</v>
      </c>
      <c r="AG1178" s="11">
        <v>4.7</v>
      </c>
      <c r="AH1178" s="11" t="s">
        <v>49</v>
      </c>
      <c r="AI1178" s="11">
        <v>63</v>
      </c>
      <c r="AJ1178" s="11">
        <v>110</v>
      </c>
      <c r="AK1178" s="11" t="s">
        <v>66</v>
      </c>
      <c r="AL1178" s="11">
        <v>4.8</v>
      </c>
      <c r="AM1178" s="10" t="s">
        <v>44</v>
      </c>
      <c r="AN1178" s="9">
        <v>554</v>
      </c>
      <c r="AO1178" s="8" t="s">
        <v>468</v>
      </c>
      <c r="AP1178" s="8">
        <v>990</v>
      </c>
      <c r="AQ1178" s="8">
        <v>41</v>
      </c>
      <c r="AR1178" s="8">
        <v>35</v>
      </c>
      <c r="AS1178" s="8">
        <v>38.4</v>
      </c>
      <c r="AT1178" s="8">
        <v>48</v>
      </c>
      <c r="AU1178" s="8">
        <v>16.100000000000001</v>
      </c>
      <c r="AV1178" s="8">
        <v>30</v>
      </c>
      <c r="AW1178" s="8">
        <v>17</v>
      </c>
      <c r="AX1178" s="8">
        <v>57</v>
      </c>
      <c r="AY1178" s="8">
        <v>49</v>
      </c>
      <c r="AZ1178" s="8" t="s">
        <v>54</v>
      </c>
      <c r="BA1178" s="7">
        <v>2.7</v>
      </c>
      <c r="BB1178" s="9"/>
      <c r="BC1178" s="8" t="s">
        <v>467</v>
      </c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7"/>
    </row>
    <row r="1179" spans="1:68" ht="14.25" customHeight="1">
      <c r="A1179" s="12">
        <v>522</v>
      </c>
      <c r="B1179" s="14">
        <v>488</v>
      </c>
      <c r="C1179" s="13" t="s">
        <v>105</v>
      </c>
      <c r="D1179" s="13" t="s">
        <v>105</v>
      </c>
      <c r="E1179" s="13" t="s">
        <v>466</v>
      </c>
      <c r="F1179" s="11">
        <v>1</v>
      </c>
      <c r="G1179" s="11">
        <v>2.1</v>
      </c>
      <c r="H1179" s="11">
        <v>6.1</v>
      </c>
      <c r="I1179" s="11">
        <v>12.1</v>
      </c>
      <c r="J1179" s="11">
        <v>16.600000000000001</v>
      </c>
      <c r="K1179" s="11">
        <v>20.2</v>
      </c>
      <c r="L1179" s="11">
        <v>23.4</v>
      </c>
      <c r="M1179" s="11">
        <v>22.4</v>
      </c>
      <c r="N1179" s="11">
        <v>18.399999999999999</v>
      </c>
      <c r="O1179" s="11">
        <v>12.4</v>
      </c>
      <c r="P1179" s="11">
        <v>7.8</v>
      </c>
      <c r="Q1179" s="11">
        <v>3.3</v>
      </c>
      <c r="R1179" s="10">
        <v>12.2</v>
      </c>
      <c r="S1179" s="12">
        <v>488</v>
      </c>
      <c r="T1179" s="8" t="s">
        <v>464</v>
      </c>
      <c r="U1179" s="11">
        <v>-13</v>
      </c>
      <c r="V1179" s="11">
        <v>-12</v>
      </c>
      <c r="W1179" s="11">
        <v>-11</v>
      </c>
      <c r="X1179" s="11">
        <v>-8</v>
      </c>
      <c r="Y1179" s="11">
        <v>2</v>
      </c>
      <c r="Z1179" s="11">
        <v>-23</v>
      </c>
      <c r="AA1179" s="11">
        <v>7.5</v>
      </c>
      <c r="AB1179" s="11">
        <v>0</v>
      </c>
      <c r="AC1179" s="11" t="s">
        <v>50</v>
      </c>
      <c r="AD1179" s="11">
        <v>133</v>
      </c>
      <c r="AE1179" s="11">
        <v>3.5</v>
      </c>
      <c r="AF1179" s="11">
        <v>157</v>
      </c>
      <c r="AG1179" s="11">
        <v>4.3</v>
      </c>
      <c r="AH1179" s="11" t="s">
        <v>49</v>
      </c>
      <c r="AI1179" s="11">
        <v>63</v>
      </c>
      <c r="AJ1179" s="11">
        <v>186</v>
      </c>
      <c r="AK1179" s="11" t="s">
        <v>48</v>
      </c>
      <c r="AL1179" s="11" t="s">
        <v>44</v>
      </c>
      <c r="AM1179" s="10">
        <v>2</v>
      </c>
      <c r="AN1179" s="9">
        <v>488</v>
      </c>
      <c r="AO1179" s="8" t="s">
        <v>465</v>
      </c>
      <c r="AP1179" s="8" t="s">
        <v>64</v>
      </c>
      <c r="AQ1179" s="8">
        <v>26</v>
      </c>
      <c r="AR1179" s="8">
        <v>33</v>
      </c>
      <c r="AS1179" s="8">
        <v>30.9</v>
      </c>
      <c r="AT1179" s="8">
        <v>38</v>
      </c>
      <c r="AU1179" s="8">
        <v>11.4</v>
      </c>
      <c r="AV1179" s="8">
        <v>65</v>
      </c>
      <c r="AW1179" s="8">
        <v>50</v>
      </c>
      <c r="AX1179" s="8" t="s">
        <v>44</v>
      </c>
      <c r="AY1179" s="8">
        <v>100</v>
      </c>
      <c r="AZ1179" s="8" t="s">
        <v>43</v>
      </c>
      <c r="BA1179" s="7">
        <v>1</v>
      </c>
      <c r="BB1179" s="9"/>
      <c r="BC1179" s="8" t="s">
        <v>464</v>
      </c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7"/>
    </row>
    <row r="1180" spans="1:68" ht="14.25" customHeight="1">
      <c r="A1180" s="12">
        <v>523</v>
      </c>
      <c r="B1180" s="14">
        <v>223</v>
      </c>
      <c r="C1180" s="13" t="s">
        <v>30</v>
      </c>
      <c r="D1180" s="13" t="s">
        <v>61</v>
      </c>
      <c r="E1180" s="13" t="s">
        <v>461</v>
      </c>
      <c r="F1180" s="11">
        <v>-7.8</v>
      </c>
      <c r="G1180" s="11">
        <v>-8.5</v>
      </c>
      <c r="H1180" s="11">
        <v>-6.3</v>
      </c>
      <c r="I1180" s="11">
        <v>-2.1</v>
      </c>
      <c r="J1180" s="11">
        <v>2.4</v>
      </c>
      <c r="K1180" s="11">
        <v>7.5</v>
      </c>
      <c r="L1180" s="11">
        <v>11.2</v>
      </c>
      <c r="M1180" s="11">
        <v>10.8</v>
      </c>
      <c r="N1180" s="11">
        <v>6.9</v>
      </c>
      <c r="O1180" s="11">
        <v>1.5</v>
      </c>
      <c r="P1180" s="11">
        <v>-2.8</v>
      </c>
      <c r="Q1180" s="11">
        <v>-5.8</v>
      </c>
      <c r="R1180" s="10">
        <v>0.6</v>
      </c>
      <c r="S1180" s="12">
        <v>223</v>
      </c>
      <c r="T1180" s="8" t="s">
        <v>463</v>
      </c>
      <c r="U1180" s="11">
        <v>-26</v>
      </c>
      <c r="V1180" s="11">
        <v>-24</v>
      </c>
      <c r="W1180" s="11">
        <v>-23</v>
      </c>
      <c r="X1180" s="11">
        <v>-21</v>
      </c>
      <c r="Y1180" s="11">
        <v>-13</v>
      </c>
      <c r="Z1180" s="11">
        <v>-31</v>
      </c>
      <c r="AA1180" s="11">
        <v>6.8</v>
      </c>
      <c r="AB1180" s="11">
        <v>185</v>
      </c>
      <c r="AC1180" s="11">
        <v>-5.2</v>
      </c>
      <c r="AD1180" s="11">
        <v>286</v>
      </c>
      <c r="AE1180" s="11">
        <v>-2</v>
      </c>
      <c r="AF1180" s="11">
        <v>318</v>
      </c>
      <c r="AG1180" s="11">
        <v>-0.9</v>
      </c>
      <c r="AH1180" s="11">
        <v>79</v>
      </c>
      <c r="AI1180" s="11">
        <v>79</v>
      </c>
      <c r="AJ1180" s="11">
        <v>149</v>
      </c>
      <c r="AK1180" s="11" t="s">
        <v>34</v>
      </c>
      <c r="AL1180" s="11" t="s">
        <v>44</v>
      </c>
      <c r="AM1180" s="10">
        <v>7.5</v>
      </c>
      <c r="AN1180" s="9">
        <v>223</v>
      </c>
      <c r="AO1180" s="8" t="s">
        <v>462</v>
      </c>
      <c r="AP1180" s="8">
        <v>1010</v>
      </c>
      <c r="AQ1180" s="8">
        <v>11.1</v>
      </c>
      <c r="AR1180" s="8">
        <v>15.8</v>
      </c>
      <c r="AS1180" s="8">
        <v>13.5</v>
      </c>
      <c r="AT1180" s="8">
        <v>35</v>
      </c>
      <c r="AU1180" s="8">
        <v>5.3</v>
      </c>
      <c r="AV1180" s="8">
        <v>78</v>
      </c>
      <c r="AW1180" s="8">
        <v>61</v>
      </c>
      <c r="AX1180" s="8">
        <v>323</v>
      </c>
      <c r="AY1180" s="8">
        <v>81</v>
      </c>
      <c r="AZ1180" s="8" t="s">
        <v>54</v>
      </c>
      <c r="BA1180" s="7" t="s">
        <v>46</v>
      </c>
      <c r="BB1180" s="9">
        <v>198</v>
      </c>
      <c r="BC1180" s="8" t="s">
        <v>461</v>
      </c>
      <c r="BD1180" s="8">
        <v>2.9</v>
      </c>
      <c r="BE1180" s="8">
        <v>2.7</v>
      </c>
      <c r="BF1180" s="8">
        <v>3.2</v>
      </c>
      <c r="BG1180" s="8">
        <v>4.0999999999999996</v>
      </c>
      <c r="BH1180" s="8">
        <v>5.4</v>
      </c>
      <c r="BI1180" s="8">
        <v>7.8</v>
      </c>
      <c r="BJ1180" s="8">
        <v>10.199999999999999</v>
      </c>
      <c r="BK1180" s="8">
        <v>10.5</v>
      </c>
      <c r="BL1180" s="8">
        <v>8.1999999999999993</v>
      </c>
      <c r="BM1180" s="8">
        <v>5.7</v>
      </c>
      <c r="BN1180" s="8">
        <v>4.2</v>
      </c>
      <c r="BO1180" s="8">
        <v>3.4</v>
      </c>
      <c r="BP1180" s="7">
        <v>5.7</v>
      </c>
    </row>
    <row r="1181" spans="1:68" ht="14.25" customHeight="1">
      <c r="A1181" s="12">
        <v>524</v>
      </c>
      <c r="B1181" s="14">
        <v>599</v>
      </c>
      <c r="C1181" s="13" t="s">
        <v>117</v>
      </c>
      <c r="D1181" s="13" t="s">
        <v>116</v>
      </c>
      <c r="E1181" s="13" t="s">
        <v>459</v>
      </c>
      <c r="F1181" s="11">
        <v>2.6</v>
      </c>
      <c r="G1181" s="11">
        <v>6</v>
      </c>
      <c r="H1181" s="11">
        <v>11.4</v>
      </c>
      <c r="I1181" s="11">
        <v>18.399999999999999</v>
      </c>
      <c r="J1181" s="11">
        <v>24.3</v>
      </c>
      <c r="K1181" s="11">
        <v>28.2</v>
      </c>
      <c r="L1181" s="11">
        <v>30.4</v>
      </c>
      <c r="M1181" s="11">
        <v>28.1</v>
      </c>
      <c r="N1181" s="11">
        <v>22.4</v>
      </c>
      <c r="O1181" s="11">
        <v>15.8</v>
      </c>
      <c r="P1181" s="11">
        <v>9.9</v>
      </c>
      <c r="Q1181" s="11">
        <v>5.0999999999999996</v>
      </c>
      <c r="R1181" s="10">
        <v>16.899999999999999</v>
      </c>
      <c r="S1181" s="12">
        <v>588</v>
      </c>
      <c r="T1181" s="8" t="s">
        <v>459</v>
      </c>
      <c r="U1181" s="11">
        <v>-14</v>
      </c>
      <c r="V1181" s="11">
        <v>-12</v>
      </c>
      <c r="W1181" s="11">
        <v>-12</v>
      </c>
      <c r="X1181" s="11" t="s">
        <v>64</v>
      </c>
      <c r="Y1181" s="11">
        <v>-1</v>
      </c>
      <c r="Z1181" s="11">
        <v>-20</v>
      </c>
      <c r="AA1181" s="11">
        <v>10.4</v>
      </c>
      <c r="AB1181" s="11">
        <v>0</v>
      </c>
      <c r="AC1181" s="11" t="s">
        <v>50</v>
      </c>
      <c r="AD1181" s="11">
        <v>91</v>
      </c>
      <c r="AE1181" s="11">
        <v>4.5</v>
      </c>
      <c r="AF1181" s="11" t="s">
        <v>114</v>
      </c>
      <c r="AG1181" s="11" t="s">
        <v>44</v>
      </c>
      <c r="AH1181" s="11" t="s">
        <v>49</v>
      </c>
      <c r="AI1181" s="11" t="s">
        <v>49</v>
      </c>
      <c r="AJ1181" s="11" t="s">
        <v>84</v>
      </c>
      <c r="AK1181" s="11" t="s">
        <v>44</v>
      </c>
      <c r="AL1181" s="11">
        <v>4</v>
      </c>
      <c r="AM1181" s="10" t="s">
        <v>44</v>
      </c>
      <c r="AN1181" s="9">
        <v>589</v>
      </c>
      <c r="AO1181" s="8" t="s">
        <v>460</v>
      </c>
      <c r="AP1181" s="8">
        <v>970</v>
      </c>
      <c r="AQ1181" s="8">
        <v>38.200000000000003</v>
      </c>
      <c r="AR1181" s="8">
        <v>42.2</v>
      </c>
      <c r="AS1181" s="8">
        <v>39.4</v>
      </c>
      <c r="AT1181" s="8">
        <v>47</v>
      </c>
      <c r="AU1181" s="8">
        <v>18.7</v>
      </c>
      <c r="AV1181" s="8" t="s">
        <v>45</v>
      </c>
      <c r="AW1181" s="8" t="s">
        <v>244</v>
      </c>
      <c r="AX1181" s="8" t="s">
        <v>44</v>
      </c>
      <c r="AY1181" s="8">
        <v>37</v>
      </c>
      <c r="AZ1181" s="8" t="s">
        <v>114</v>
      </c>
      <c r="BA1181" s="7">
        <v>0</v>
      </c>
      <c r="BB1181" s="9"/>
      <c r="BC1181" s="8" t="s">
        <v>459</v>
      </c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7"/>
    </row>
    <row r="1182" spans="1:68" ht="14.25" customHeight="1">
      <c r="A1182" s="12">
        <v>525</v>
      </c>
      <c r="B1182" s="14">
        <v>638</v>
      </c>
      <c r="C1182" s="13" t="s">
        <v>52</v>
      </c>
      <c r="D1182" s="13" t="s">
        <v>458</v>
      </c>
      <c r="E1182" s="13" t="s">
        <v>456</v>
      </c>
      <c r="F1182" s="11">
        <v>-5.8</v>
      </c>
      <c r="G1182" s="11">
        <v>-4.2</v>
      </c>
      <c r="H1182" s="11">
        <v>0</v>
      </c>
      <c r="I1182" s="11">
        <v>7.4</v>
      </c>
      <c r="J1182" s="11">
        <v>13.3</v>
      </c>
      <c r="K1182" s="11">
        <v>16.2</v>
      </c>
      <c r="L1182" s="11">
        <v>17.399999999999999</v>
      </c>
      <c r="M1182" s="11">
        <v>16.8</v>
      </c>
      <c r="N1182" s="11">
        <v>12.9</v>
      </c>
      <c r="O1182" s="11">
        <v>7.4</v>
      </c>
      <c r="P1182" s="11">
        <v>1.8</v>
      </c>
      <c r="Q1182" s="11">
        <v>-2.9</v>
      </c>
      <c r="R1182" s="10">
        <v>6.7</v>
      </c>
      <c r="S1182" s="12">
        <v>627</v>
      </c>
      <c r="T1182" s="8" t="s">
        <v>456</v>
      </c>
      <c r="U1182" s="11">
        <v>-25</v>
      </c>
      <c r="V1182" s="11">
        <v>-23</v>
      </c>
      <c r="W1182" s="11">
        <v>-22</v>
      </c>
      <c r="X1182" s="11">
        <v>-20</v>
      </c>
      <c r="Y1182" s="11">
        <v>-9</v>
      </c>
      <c r="Z1182" s="11">
        <v>-32</v>
      </c>
      <c r="AA1182" s="11" t="s">
        <v>49</v>
      </c>
      <c r="AB1182" s="11">
        <v>109</v>
      </c>
      <c r="AC1182" s="11">
        <v>-3.8</v>
      </c>
      <c r="AD1182" s="11">
        <v>183</v>
      </c>
      <c r="AE1182" s="11">
        <v>-0.7</v>
      </c>
      <c r="AF1182" s="11">
        <v>203</v>
      </c>
      <c r="AG1182" s="11">
        <v>0.2</v>
      </c>
      <c r="AH1182" s="11" t="s">
        <v>49</v>
      </c>
      <c r="AI1182" s="11" t="s">
        <v>49</v>
      </c>
      <c r="AJ1182" s="11">
        <v>175</v>
      </c>
      <c r="AK1182" s="11" t="s">
        <v>27</v>
      </c>
      <c r="AL1182" s="11" t="s">
        <v>44</v>
      </c>
      <c r="AM1182" s="10" t="s">
        <v>44</v>
      </c>
      <c r="AN1182" s="9">
        <v>628</v>
      </c>
      <c r="AO1182" s="8" t="s">
        <v>457</v>
      </c>
      <c r="AP1182" s="8">
        <v>975</v>
      </c>
      <c r="AQ1182" s="8">
        <v>25</v>
      </c>
      <c r="AR1182" s="8">
        <v>21</v>
      </c>
      <c r="AS1182" s="8">
        <v>23</v>
      </c>
      <c r="AT1182" s="8">
        <v>37</v>
      </c>
      <c r="AU1182" s="8" t="s">
        <v>46</v>
      </c>
      <c r="AV1182" s="8" t="s">
        <v>45</v>
      </c>
      <c r="AW1182" s="8" t="s">
        <v>44</v>
      </c>
      <c r="AX1182" s="8" t="s">
        <v>44</v>
      </c>
      <c r="AY1182" s="8">
        <v>106</v>
      </c>
      <c r="AZ1182" s="8" t="s">
        <v>54</v>
      </c>
      <c r="BA1182" s="7">
        <v>1.3</v>
      </c>
      <c r="BB1182" s="9"/>
      <c r="BC1182" s="8" t="s">
        <v>456</v>
      </c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7"/>
    </row>
    <row r="1183" spans="1:68" ht="14.25" customHeight="1">
      <c r="A1183" s="12">
        <v>526</v>
      </c>
      <c r="B1183" s="14">
        <v>224</v>
      </c>
      <c r="C1183" s="13" t="s">
        <v>30</v>
      </c>
      <c r="D1183" s="13" t="s">
        <v>61</v>
      </c>
      <c r="E1183" s="13" t="s">
        <v>453</v>
      </c>
      <c r="F1183" s="11">
        <v>-9.9</v>
      </c>
      <c r="G1183" s="11">
        <v>-11.1</v>
      </c>
      <c r="H1183" s="11">
        <v>-8.8000000000000007</v>
      </c>
      <c r="I1183" s="11">
        <v>-3.6</v>
      </c>
      <c r="J1183" s="11">
        <v>0.7</v>
      </c>
      <c r="K1183" s="11">
        <v>5.4</v>
      </c>
      <c r="L1183" s="11">
        <v>9</v>
      </c>
      <c r="M1183" s="11">
        <v>9.3000000000000007</v>
      </c>
      <c r="N1183" s="11">
        <v>6.4</v>
      </c>
      <c r="O1183" s="11">
        <v>0.9</v>
      </c>
      <c r="P1183" s="11">
        <v>-3.3</v>
      </c>
      <c r="Q1183" s="11">
        <v>-6.2</v>
      </c>
      <c r="R1183" s="10">
        <v>-0.9</v>
      </c>
      <c r="S1183" s="12">
        <v>224</v>
      </c>
      <c r="T1183" s="8" t="s">
        <v>455</v>
      </c>
      <c r="U1183" s="11">
        <v>-29</v>
      </c>
      <c r="V1183" s="11">
        <v>-27</v>
      </c>
      <c r="W1183" s="11">
        <v>-24</v>
      </c>
      <c r="X1183" s="11">
        <v>-22</v>
      </c>
      <c r="Y1183" s="11">
        <v>-16</v>
      </c>
      <c r="Z1183" s="11">
        <v>-38</v>
      </c>
      <c r="AA1183" s="11">
        <v>6.5</v>
      </c>
      <c r="AB1183" s="11">
        <v>200</v>
      </c>
      <c r="AC1183" s="11">
        <v>-6.3</v>
      </c>
      <c r="AD1183" s="11">
        <v>312</v>
      </c>
      <c r="AE1183" s="11">
        <v>-2.5</v>
      </c>
      <c r="AF1183" s="11">
        <v>365</v>
      </c>
      <c r="AG1183" s="11">
        <v>-0.9</v>
      </c>
      <c r="AH1183" s="11">
        <v>87</v>
      </c>
      <c r="AI1183" s="11">
        <v>87</v>
      </c>
      <c r="AJ1183" s="11">
        <v>134</v>
      </c>
      <c r="AK1183" s="11" t="s">
        <v>39</v>
      </c>
      <c r="AL1183" s="11" t="s">
        <v>44</v>
      </c>
      <c r="AM1183" s="10">
        <v>7.1</v>
      </c>
      <c r="AN1183" s="9">
        <v>224</v>
      </c>
      <c r="AO1183" s="8" t="s">
        <v>454</v>
      </c>
      <c r="AP1183" s="8">
        <v>1005</v>
      </c>
      <c r="AQ1183" s="8">
        <v>11.1</v>
      </c>
      <c r="AR1183" s="8">
        <v>15.8</v>
      </c>
      <c r="AS1183" s="8">
        <v>13.5</v>
      </c>
      <c r="AT1183" s="8">
        <v>34</v>
      </c>
      <c r="AU1183" s="8">
        <v>7.9</v>
      </c>
      <c r="AV1183" s="8">
        <v>85</v>
      </c>
      <c r="AW1183" s="8">
        <v>80</v>
      </c>
      <c r="AX1183" s="8">
        <v>302</v>
      </c>
      <c r="AY1183" s="8">
        <v>62</v>
      </c>
      <c r="AZ1183" s="8" t="s">
        <v>32</v>
      </c>
      <c r="BA1183" s="7" t="s">
        <v>46</v>
      </c>
      <c r="BB1183" s="9">
        <v>199</v>
      </c>
      <c r="BC1183" s="8" t="s">
        <v>453</v>
      </c>
      <c r="BD1183" s="8">
        <v>2.8</v>
      </c>
      <c r="BE1183" s="8">
        <v>2.6</v>
      </c>
      <c r="BF1183" s="8">
        <v>3.1</v>
      </c>
      <c r="BG1183" s="8">
        <v>4</v>
      </c>
      <c r="BH1183" s="8">
        <v>5.4</v>
      </c>
      <c r="BI1183" s="8">
        <v>7.7</v>
      </c>
      <c r="BJ1183" s="8">
        <v>10</v>
      </c>
      <c r="BK1183" s="8">
        <v>10.4</v>
      </c>
      <c r="BL1183" s="8">
        <v>8.5</v>
      </c>
      <c r="BM1183" s="8">
        <v>5.8</v>
      </c>
      <c r="BN1183" s="8">
        <v>4.5</v>
      </c>
      <c r="BO1183" s="8">
        <v>3.6</v>
      </c>
      <c r="BP1183" s="7">
        <v>5.7</v>
      </c>
    </row>
    <row r="1184" spans="1:68" ht="14.25" customHeight="1">
      <c r="A1184" s="12">
        <v>527</v>
      </c>
      <c r="B1184" s="14">
        <v>144</v>
      </c>
      <c r="C1184" s="13" t="s">
        <v>30</v>
      </c>
      <c r="D1184" s="13" t="s">
        <v>325</v>
      </c>
      <c r="E1184" s="13" t="s">
        <v>450</v>
      </c>
      <c r="F1184" s="11">
        <v>-17.399999999999999</v>
      </c>
      <c r="G1184" s="11">
        <v>-15.9</v>
      </c>
      <c r="H1184" s="11">
        <v>-8.5</v>
      </c>
      <c r="I1184" s="11">
        <v>0.7</v>
      </c>
      <c r="J1184" s="11">
        <v>8.8000000000000007</v>
      </c>
      <c r="K1184" s="11">
        <v>15.7</v>
      </c>
      <c r="L1184" s="11">
        <v>17.899999999999999</v>
      </c>
      <c r="M1184" s="11">
        <v>14.8</v>
      </c>
      <c r="N1184" s="11">
        <v>9</v>
      </c>
      <c r="O1184" s="11">
        <v>1.2</v>
      </c>
      <c r="P1184" s="11">
        <v>-9</v>
      </c>
      <c r="Q1184" s="11">
        <v>-15.5</v>
      </c>
      <c r="R1184" s="10">
        <v>0.2</v>
      </c>
      <c r="S1184" s="12">
        <v>144</v>
      </c>
      <c r="T1184" s="8" t="s">
        <v>452</v>
      </c>
      <c r="U1184" s="11">
        <v>-44</v>
      </c>
      <c r="V1184" s="11">
        <v>-43</v>
      </c>
      <c r="W1184" s="11">
        <v>-42</v>
      </c>
      <c r="X1184" s="11">
        <v>-40</v>
      </c>
      <c r="Y1184" s="11">
        <v>-22</v>
      </c>
      <c r="Z1184" s="11">
        <v>-48</v>
      </c>
      <c r="AA1184" s="11">
        <v>10.4</v>
      </c>
      <c r="AB1184" s="11">
        <v>176</v>
      </c>
      <c r="AC1184" s="11">
        <v>-11.2</v>
      </c>
      <c r="AD1184" s="11">
        <v>236</v>
      </c>
      <c r="AE1184" s="11">
        <v>-7.3</v>
      </c>
      <c r="AF1184" s="11">
        <v>253</v>
      </c>
      <c r="AG1184" s="11">
        <v>-6.2</v>
      </c>
      <c r="AH1184" s="11">
        <v>76</v>
      </c>
      <c r="AI1184" s="11">
        <v>72</v>
      </c>
      <c r="AJ1184" s="11">
        <v>84</v>
      </c>
      <c r="AK1184" s="11" t="s">
        <v>39</v>
      </c>
      <c r="AL1184" s="11" t="s">
        <v>44</v>
      </c>
      <c r="AM1184" s="10" t="s">
        <v>44</v>
      </c>
      <c r="AN1184" s="9">
        <v>144</v>
      </c>
      <c r="AO1184" s="8" t="s">
        <v>451</v>
      </c>
      <c r="AP1184" s="8">
        <v>990</v>
      </c>
      <c r="AQ1184" s="8">
        <v>21.9</v>
      </c>
      <c r="AR1184" s="8">
        <v>26.1</v>
      </c>
      <c r="AS1184" s="8">
        <v>24.3</v>
      </c>
      <c r="AT1184" s="8">
        <v>37</v>
      </c>
      <c r="AU1184" s="8">
        <v>13.1</v>
      </c>
      <c r="AV1184" s="8">
        <v>75</v>
      </c>
      <c r="AW1184" s="8">
        <v>59</v>
      </c>
      <c r="AX1184" s="8">
        <v>389</v>
      </c>
      <c r="AY1184" s="8">
        <v>78</v>
      </c>
      <c r="AZ1184" s="8" t="s">
        <v>82</v>
      </c>
      <c r="BA1184" s="7" t="s">
        <v>46</v>
      </c>
      <c r="BB1184" s="9">
        <v>127</v>
      </c>
      <c r="BC1184" s="8" t="s">
        <v>450</v>
      </c>
      <c r="BD1184" s="8">
        <v>1.5</v>
      </c>
      <c r="BE1184" s="8">
        <v>1.6</v>
      </c>
      <c r="BF1184" s="8">
        <v>2.5</v>
      </c>
      <c r="BG1184" s="8">
        <v>4.5</v>
      </c>
      <c r="BH1184" s="8">
        <v>6.8</v>
      </c>
      <c r="BI1184" s="8">
        <v>11.9</v>
      </c>
      <c r="BJ1184" s="8">
        <v>15.1</v>
      </c>
      <c r="BK1184" s="8">
        <v>13.1</v>
      </c>
      <c r="BL1184" s="8">
        <v>8.6</v>
      </c>
      <c r="BM1184" s="8">
        <v>5</v>
      </c>
      <c r="BN1184" s="8">
        <v>2.8</v>
      </c>
      <c r="BO1184" s="8">
        <v>1.8</v>
      </c>
      <c r="BP1184" s="7">
        <v>6.3</v>
      </c>
    </row>
    <row r="1185" spans="1:68" ht="14.25" customHeight="1">
      <c r="A1185" s="12">
        <v>528</v>
      </c>
      <c r="B1185" s="14">
        <v>199</v>
      </c>
      <c r="C1185" s="13" t="s">
        <v>30</v>
      </c>
      <c r="D1185" s="13" t="s">
        <v>449</v>
      </c>
      <c r="E1185" s="13" t="s">
        <v>446</v>
      </c>
      <c r="F1185" s="11">
        <v>-10.5</v>
      </c>
      <c r="G1185" s="11">
        <v>-9.3000000000000007</v>
      </c>
      <c r="H1185" s="11">
        <v>-4.7</v>
      </c>
      <c r="I1185" s="11">
        <v>2.8</v>
      </c>
      <c r="J1185" s="11">
        <v>9.6999999999999993</v>
      </c>
      <c r="K1185" s="11">
        <v>14.7</v>
      </c>
      <c r="L1185" s="11">
        <v>16.600000000000001</v>
      </c>
      <c r="M1185" s="11">
        <v>14.8</v>
      </c>
      <c r="N1185" s="11">
        <v>9.5</v>
      </c>
      <c r="O1185" s="11">
        <v>3.6</v>
      </c>
      <c r="P1185" s="11">
        <v>-1.8</v>
      </c>
      <c r="Q1185" s="11">
        <v>-6.6</v>
      </c>
      <c r="R1185" s="10">
        <v>3.2</v>
      </c>
      <c r="S1185" s="12">
        <v>199</v>
      </c>
      <c r="T1185" s="8" t="s">
        <v>448</v>
      </c>
      <c r="U1185" s="11">
        <v>-37</v>
      </c>
      <c r="V1185" s="11">
        <v>-34</v>
      </c>
      <c r="W1185" s="11">
        <v>-32</v>
      </c>
      <c r="X1185" s="11">
        <v>-29</v>
      </c>
      <c r="Y1185" s="11">
        <v>-15</v>
      </c>
      <c r="Z1185" s="11">
        <v>-51</v>
      </c>
      <c r="AA1185" s="11">
        <v>7.3</v>
      </c>
      <c r="AB1185" s="11">
        <v>150</v>
      </c>
      <c r="AC1185" s="11">
        <v>-6.3</v>
      </c>
      <c r="AD1185" s="11">
        <v>227</v>
      </c>
      <c r="AE1185" s="11">
        <v>-2.8</v>
      </c>
      <c r="AF1185" s="11">
        <v>247</v>
      </c>
      <c r="AG1185" s="11">
        <v>-1.8</v>
      </c>
      <c r="AH1185" s="11">
        <v>85</v>
      </c>
      <c r="AI1185" s="11">
        <v>85</v>
      </c>
      <c r="AJ1185" s="11">
        <v>210</v>
      </c>
      <c r="AK1185" s="11" t="s">
        <v>39</v>
      </c>
      <c r="AL1185" s="11">
        <v>5.5</v>
      </c>
      <c r="AM1185" s="10">
        <v>3.6</v>
      </c>
      <c r="AN1185" s="9">
        <v>198</v>
      </c>
      <c r="AO1185" s="8" t="s">
        <v>447</v>
      </c>
      <c r="AP1185" s="8">
        <v>1005</v>
      </c>
      <c r="AQ1185" s="8">
        <v>20.100000000000001</v>
      </c>
      <c r="AR1185" s="8">
        <v>24.4</v>
      </c>
      <c r="AS1185" s="8">
        <v>22.5</v>
      </c>
      <c r="AT1185" s="8">
        <v>36</v>
      </c>
      <c r="AU1185" s="8">
        <v>11.9</v>
      </c>
      <c r="AV1185" s="8">
        <v>75</v>
      </c>
      <c r="AW1185" s="8">
        <v>59</v>
      </c>
      <c r="AX1185" s="8">
        <v>467</v>
      </c>
      <c r="AY1185" s="8">
        <v>75</v>
      </c>
      <c r="AZ1185" s="8" t="s">
        <v>82</v>
      </c>
      <c r="BA1185" s="7">
        <v>0</v>
      </c>
      <c r="BB1185" s="9">
        <v>174</v>
      </c>
      <c r="BC1185" s="8" t="s">
        <v>446</v>
      </c>
      <c r="BD1185" s="8">
        <v>2.9</v>
      </c>
      <c r="BE1185" s="8">
        <v>3</v>
      </c>
      <c r="BF1185" s="8">
        <v>3.6</v>
      </c>
      <c r="BG1185" s="8">
        <v>5.5</v>
      </c>
      <c r="BH1185" s="8">
        <v>7.9</v>
      </c>
      <c r="BI1185" s="8">
        <v>11.5</v>
      </c>
      <c r="BJ1185" s="8">
        <v>14</v>
      </c>
      <c r="BK1185" s="8">
        <v>13.5</v>
      </c>
      <c r="BL1185" s="8">
        <v>10.199999999999999</v>
      </c>
      <c r="BM1185" s="8">
        <v>7.1</v>
      </c>
      <c r="BN1185" s="8">
        <v>5.0999999999999996</v>
      </c>
      <c r="BO1185" s="8">
        <v>3.8</v>
      </c>
      <c r="BP1185" s="7">
        <v>7.3</v>
      </c>
    </row>
    <row r="1186" spans="1:68" ht="14.25" customHeight="1">
      <c r="A1186" s="12">
        <v>529</v>
      </c>
      <c r="B1186" s="14">
        <v>168</v>
      </c>
      <c r="C1186" s="13" t="s">
        <v>30</v>
      </c>
      <c r="D1186" s="13" t="s">
        <v>445</v>
      </c>
      <c r="E1186" s="13" t="s">
        <v>442</v>
      </c>
      <c r="F1186" s="11">
        <v>-3.5</v>
      </c>
      <c r="G1186" s="11">
        <v>-2.1</v>
      </c>
      <c r="H1186" s="11">
        <v>2.8</v>
      </c>
      <c r="I1186" s="11">
        <v>11.1</v>
      </c>
      <c r="J1186" s="11">
        <v>16.600000000000001</v>
      </c>
      <c r="K1186" s="11">
        <v>20.8</v>
      </c>
      <c r="L1186" s="11">
        <v>23.2</v>
      </c>
      <c r="M1186" s="11">
        <v>22.6</v>
      </c>
      <c r="N1186" s="11">
        <v>17.3</v>
      </c>
      <c r="O1186" s="11">
        <v>10.1</v>
      </c>
      <c r="P1186" s="11">
        <v>4.8</v>
      </c>
      <c r="Q1186" s="11">
        <v>-0.1</v>
      </c>
      <c r="R1186" s="10">
        <v>10.3</v>
      </c>
      <c r="S1186" s="12">
        <v>168</v>
      </c>
      <c r="T1186" s="8" t="s">
        <v>444</v>
      </c>
      <c r="U1186" s="11">
        <v>-28</v>
      </c>
      <c r="V1186" s="11">
        <v>-25</v>
      </c>
      <c r="W1186" s="11">
        <v>-24</v>
      </c>
      <c r="X1186" s="11">
        <v>-22</v>
      </c>
      <c r="Y1186" s="11">
        <v>-8</v>
      </c>
      <c r="Z1186" s="11">
        <v>-32</v>
      </c>
      <c r="AA1186" s="11">
        <v>6.4</v>
      </c>
      <c r="AB1186" s="11">
        <v>74</v>
      </c>
      <c r="AC1186" s="11">
        <v>-2.1</v>
      </c>
      <c r="AD1186" s="11">
        <v>158</v>
      </c>
      <c r="AE1186" s="11">
        <v>1.1000000000000001</v>
      </c>
      <c r="AF1186" s="11">
        <v>177</v>
      </c>
      <c r="AG1186" s="11">
        <v>1.9</v>
      </c>
      <c r="AH1186" s="11">
        <v>85</v>
      </c>
      <c r="AI1186" s="11">
        <v>82</v>
      </c>
      <c r="AJ1186" s="11">
        <v>243</v>
      </c>
      <c r="AK1186" s="11" t="s">
        <v>66</v>
      </c>
      <c r="AL1186" s="11">
        <v>6.8</v>
      </c>
      <c r="AM1186" s="10">
        <v>5.2</v>
      </c>
      <c r="AN1186" s="9">
        <v>168</v>
      </c>
      <c r="AO1186" s="8" t="s">
        <v>443</v>
      </c>
      <c r="AP1186" s="8">
        <v>1005</v>
      </c>
      <c r="AQ1186" s="8">
        <v>27.6</v>
      </c>
      <c r="AR1186" s="8">
        <v>31.5</v>
      </c>
      <c r="AS1186" s="8">
        <v>30</v>
      </c>
      <c r="AT1186" s="8">
        <v>42</v>
      </c>
      <c r="AU1186" s="8">
        <v>13.2</v>
      </c>
      <c r="AV1186" s="8">
        <v>59</v>
      </c>
      <c r="AW1186" s="8">
        <v>43</v>
      </c>
      <c r="AX1186" s="8">
        <v>360</v>
      </c>
      <c r="AY1186" s="8">
        <v>92</v>
      </c>
      <c r="AZ1186" s="8" t="s">
        <v>63</v>
      </c>
      <c r="BA1186" s="7">
        <v>0</v>
      </c>
      <c r="BB1186" s="9">
        <v>147</v>
      </c>
      <c r="BC1186" s="8" t="s">
        <v>442</v>
      </c>
      <c r="BD1186" s="8">
        <v>4.5</v>
      </c>
      <c r="BE1186" s="8">
        <v>4.9000000000000004</v>
      </c>
      <c r="BF1186" s="8">
        <v>5.9</v>
      </c>
      <c r="BG1186" s="8">
        <v>8.3000000000000007</v>
      </c>
      <c r="BH1186" s="8">
        <v>11.9</v>
      </c>
      <c r="BI1186" s="8">
        <v>15.2</v>
      </c>
      <c r="BJ1186" s="8">
        <v>16.399999999999999</v>
      </c>
      <c r="BK1186" s="8">
        <v>15.6</v>
      </c>
      <c r="BL1186" s="8">
        <v>12.1</v>
      </c>
      <c r="BM1186" s="8">
        <v>9.4</v>
      </c>
      <c r="BN1186" s="8">
        <v>7.5</v>
      </c>
      <c r="BO1186" s="8">
        <v>5.7</v>
      </c>
      <c r="BP1186" s="7">
        <v>9.8000000000000007</v>
      </c>
    </row>
    <row r="1187" spans="1:68" ht="14.25" customHeight="1">
      <c r="A1187" s="12">
        <v>530</v>
      </c>
      <c r="B1187" s="14">
        <v>335</v>
      </c>
      <c r="C1187" s="13" t="s">
        <v>30</v>
      </c>
      <c r="D1187" s="13" t="s">
        <v>259</v>
      </c>
      <c r="E1187" s="13" t="s">
        <v>439</v>
      </c>
      <c r="F1187" s="11">
        <v>-19.7</v>
      </c>
      <c r="G1187" s="11">
        <v>-17.5</v>
      </c>
      <c r="H1187" s="11">
        <v>-9.1</v>
      </c>
      <c r="I1187" s="11">
        <v>1.6</v>
      </c>
      <c r="J1187" s="11">
        <v>9.6</v>
      </c>
      <c r="K1187" s="11">
        <v>15.2</v>
      </c>
      <c r="L1187" s="11">
        <v>18.3</v>
      </c>
      <c r="M1187" s="11">
        <v>14.6</v>
      </c>
      <c r="N1187" s="11">
        <v>9.3000000000000007</v>
      </c>
      <c r="O1187" s="11">
        <v>0</v>
      </c>
      <c r="P1187" s="11">
        <v>-8.4</v>
      </c>
      <c r="Q1187" s="11">
        <v>-15.6</v>
      </c>
      <c r="R1187" s="10">
        <v>-0.1</v>
      </c>
      <c r="S1187" s="12">
        <v>335</v>
      </c>
      <c r="T1187" s="8" t="s">
        <v>441</v>
      </c>
      <c r="U1187" s="11">
        <v>-47</v>
      </c>
      <c r="V1187" s="11">
        <v>-43</v>
      </c>
      <c r="W1187" s="11">
        <v>-44</v>
      </c>
      <c r="X1187" s="11">
        <v>-39</v>
      </c>
      <c r="Y1187" s="11">
        <v>-25</v>
      </c>
      <c r="Z1187" s="11">
        <v>-52</v>
      </c>
      <c r="AA1187" s="11">
        <v>9.5</v>
      </c>
      <c r="AB1187" s="11">
        <v>177</v>
      </c>
      <c r="AC1187" s="11">
        <v>-11.8</v>
      </c>
      <c r="AD1187" s="11">
        <v>232</v>
      </c>
      <c r="AE1187" s="11">
        <v>-8.1</v>
      </c>
      <c r="AF1187" s="11">
        <v>249</v>
      </c>
      <c r="AG1187" s="11">
        <v>-6.9</v>
      </c>
      <c r="AH1187" s="11">
        <v>82</v>
      </c>
      <c r="AI1187" s="11">
        <v>81</v>
      </c>
      <c r="AJ1187" s="11">
        <v>113</v>
      </c>
      <c r="AK1187" s="11" t="s">
        <v>27</v>
      </c>
      <c r="AL1187" s="11">
        <v>6.3</v>
      </c>
      <c r="AM1187" s="10">
        <v>4</v>
      </c>
      <c r="AN1187" s="9">
        <v>335</v>
      </c>
      <c r="AO1187" s="8" t="s">
        <v>440</v>
      </c>
      <c r="AP1187" s="8">
        <v>1000</v>
      </c>
      <c r="AQ1187" s="8">
        <v>21.5</v>
      </c>
      <c r="AR1187" s="8">
        <v>25.6</v>
      </c>
      <c r="AS1187" s="8">
        <v>23.6</v>
      </c>
      <c r="AT1187" s="8">
        <v>35</v>
      </c>
      <c r="AU1187" s="8">
        <v>10.3</v>
      </c>
      <c r="AV1187" s="8">
        <v>71</v>
      </c>
      <c r="AW1187" s="8">
        <v>58</v>
      </c>
      <c r="AX1187" s="8">
        <v>349</v>
      </c>
      <c r="AY1187" s="8">
        <v>65</v>
      </c>
      <c r="AZ1187" s="8" t="s">
        <v>54</v>
      </c>
      <c r="BA1187" s="7">
        <v>4.0999999999999996</v>
      </c>
      <c r="BB1187" s="9">
        <v>303</v>
      </c>
      <c r="BC1187" s="8" t="s">
        <v>439</v>
      </c>
      <c r="BD1187" s="8">
        <v>1.4</v>
      </c>
      <c r="BE1187" s="8">
        <v>1.5</v>
      </c>
      <c r="BF1187" s="8">
        <v>2.6</v>
      </c>
      <c r="BG1187" s="8">
        <v>4.9000000000000004</v>
      </c>
      <c r="BH1187" s="8">
        <v>7.3</v>
      </c>
      <c r="BI1187" s="8">
        <v>11.7</v>
      </c>
      <c r="BJ1187" s="8">
        <v>15.1</v>
      </c>
      <c r="BK1187" s="8">
        <v>12.9</v>
      </c>
      <c r="BL1187" s="8">
        <v>9.1999999999999993</v>
      </c>
      <c r="BM1187" s="8">
        <v>5.0999999999999996</v>
      </c>
      <c r="BN1187" s="8">
        <v>3.2</v>
      </c>
      <c r="BO1187" s="8">
        <v>1.9</v>
      </c>
      <c r="BP1187" s="7">
        <v>6.4</v>
      </c>
    </row>
    <row r="1188" spans="1:68" ht="14.25" customHeight="1">
      <c r="A1188" s="12">
        <v>531</v>
      </c>
      <c r="B1188" s="14">
        <v>13</v>
      </c>
      <c r="C1188" s="13" t="s">
        <v>30</v>
      </c>
      <c r="D1188" s="13" t="s">
        <v>438</v>
      </c>
      <c r="E1188" s="13" t="s">
        <v>435</v>
      </c>
      <c r="F1188" s="11">
        <v>-16.5</v>
      </c>
      <c r="G1188" s="11">
        <v>-15.3</v>
      </c>
      <c r="H1188" s="11">
        <v>-8.6999999999999993</v>
      </c>
      <c r="I1188" s="11">
        <v>1.7</v>
      </c>
      <c r="J1188" s="11">
        <v>10.5</v>
      </c>
      <c r="K1188" s="11">
        <v>16.7</v>
      </c>
      <c r="L1188" s="11">
        <v>18.8</v>
      </c>
      <c r="M1188" s="11">
        <v>15.8</v>
      </c>
      <c r="N1188" s="11">
        <v>10.3</v>
      </c>
      <c r="O1188" s="11">
        <v>2.4</v>
      </c>
      <c r="P1188" s="11">
        <v>-8.1</v>
      </c>
      <c r="Q1188" s="11">
        <v>-15</v>
      </c>
      <c r="R1188" s="10">
        <v>1.1000000000000001</v>
      </c>
      <c r="S1188" s="12">
        <v>13</v>
      </c>
      <c r="T1188" s="8" t="s">
        <v>437</v>
      </c>
      <c r="U1188" s="11">
        <v>-43</v>
      </c>
      <c r="V1188" s="11">
        <v>-41</v>
      </c>
      <c r="W1188" s="11">
        <v>-40</v>
      </c>
      <c r="X1188" s="11">
        <v>-37</v>
      </c>
      <c r="Y1188" s="11">
        <v>-22</v>
      </c>
      <c r="Z1188" s="11">
        <v>-48</v>
      </c>
      <c r="AA1188" s="11">
        <v>8.6</v>
      </c>
      <c r="AB1188" s="11">
        <v>170</v>
      </c>
      <c r="AC1188" s="11">
        <v>-11</v>
      </c>
      <c r="AD1188" s="11">
        <v>225</v>
      </c>
      <c r="AE1188" s="11">
        <v>-7.3</v>
      </c>
      <c r="AF1188" s="11">
        <v>240</v>
      </c>
      <c r="AG1188" s="11">
        <v>-6.3</v>
      </c>
      <c r="AH1188" s="11">
        <v>79</v>
      </c>
      <c r="AI1188" s="11">
        <v>77</v>
      </c>
      <c r="AJ1188" s="11">
        <v>145</v>
      </c>
      <c r="AK1188" s="11" t="s">
        <v>39</v>
      </c>
      <c r="AL1188" s="11" t="s">
        <v>44</v>
      </c>
      <c r="AM1188" s="10" t="s">
        <v>44</v>
      </c>
      <c r="AN1188" s="9">
        <v>13</v>
      </c>
      <c r="AO1188" s="8" t="s">
        <v>436</v>
      </c>
      <c r="AP1188" s="8">
        <v>980</v>
      </c>
      <c r="AQ1188" s="8">
        <v>22.7</v>
      </c>
      <c r="AR1188" s="8">
        <v>26.8</v>
      </c>
      <c r="AS1188" s="8">
        <v>25.1</v>
      </c>
      <c r="AT1188" s="8">
        <v>37</v>
      </c>
      <c r="AU1188" s="8">
        <v>12.2</v>
      </c>
      <c r="AV1188" s="8">
        <v>75</v>
      </c>
      <c r="AW1188" s="8">
        <v>60</v>
      </c>
      <c r="AX1188" s="8">
        <v>376</v>
      </c>
      <c r="AY1188" s="8">
        <v>42</v>
      </c>
      <c r="AZ1188" s="8" t="s">
        <v>37</v>
      </c>
      <c r="BA1188" s="7" t="s">
        <v>46</v>
      </c>
      <c r="BB1188" s="9">
        <v>9</v>
      </c>
      <c r="BC1188" s="8" t="s">
        <v>435</v>
      </c>
      <c r="BD1188" s="8">
        <v>1.6</v>
      </c>
      <c r="BE1188" s="8">
        <v>1.7</v>
      </c>
      <c r="BF1188" s="8">
        <v>2.6</v>
      </c>
      <c r="BG1188" s="8">
        <v>5</v>
      </c>
      <c r="BH1188" s="8">
        <v>7.6</v>
      </c>
      <c r="BI1188" s="8">
        <v>12.7</v>
      </c>
      <c r="BJ1188" s="8">
        <v>15.6</v>
      </c>
      <c r="BK1188" s="8">
        <v>13.5</v>
      </c>
      <c r="BL1188" s="8">
        <v>9.1</v>
      </c>
      <c r="BM1188" s="8">
        <v>5.5</v>
      </c>
      <c r="BN1188" s="8">
        <v>3.2</v>
      </c>
      <c r="BO1188" s="8">
        <v>1.9</v>
      </c>
      <c r="BP1188" s="7">
        <v>6.7</v>
      </c>
    </row>
    <row r="1189" spans="1:68" ht="14.25" customHeight="1">
      <c r="A1189" s="12">
        <v>532</v>
      </c>
      <c r="B1189" s="14">
        <v>437</v>
      </c>
      <c r="C1189" s="13" t="s">
        <v>30</v>
      </c>
      <c r="D1189" s="13" t="s">
        <v>57</v>
      </c>
      <c r="E1189" s="13" t="s">
        <v>433</v>
      </c>
      <c r="F1189" s="11">
        <v>-39.799999999999997</v>
      </c>
      <c r="G1189" s="11">
        <v>-34.5</v>
      </c>
      <c r="H1189" s="11">
        <v>-22.9</v>
      </c>
      <c r="I1189" s="11">
        <v>-8.9</v>
      </c>
      <c r="J1189" s="11">
        <v>3.1</v>
      </c>
      <c r="K1189" s="11">
        <v>10.8</v>
      </c>
      <c r="L1189" s="11">
        <v>14.4</v>
      </c>
      <c r="M1189" s="11">
        <v>11.5</v>
      </c>
      <c r="N1189" s="11">
        <v>3.6</v>
      </c>
      <c r="O1189" s="11">
        <v>-9.3000000000000007</v>
      </c>
      <c r="P1189" s="11">
        <v>-27</v>
      </c>
      <c r="Q1189" s="11">
        <v>-37.799999999999997</v>
      </c>
      <c r="R1189" s="10">
        <v>-11.4</v>
      </c>
      <c r="S1189" s="12">
        <v>437</v>
      </c>
      <c r="T1189" s="8" t="s">
        <v>433</v>
      </c>
      <c r="U1189" s="11">
        <v>-55</v>
      </c>
      <c r="V1189" s="11">
        <v>-53</v>
      </c>
      <c r="W1189" s="11">
        <v>-53</v>
      </c>
      <c r="X1189" s="11">
        <v>-51</v>
      </c>
      <c r="Y1189" s="11">
        <v>-45</v>
      </c>
      <c r="Z1189" s="11">
        <v>-59</v>
      </c>
      <c r="AA1189" s="11">
        <v>14.7</v>
      </c>
      <c r="AB1189" s="11">
        <v>226</v>
      </c>
      <c r="AC1189" s="11">
        <v>-23.8</v>
      </c>
      <c r="AD1189" s="11">
        <v>279</v>
      </c>
      <c r="AE1189" s="11">
        <v>-18.399999999999999</v>
      </c>
      <c r="AF1189" s="11">
        <v>294</v>
      </c>
      <c r="AG1189" s="11">
        <v>-17</v>
      </c>
      <c r="AH1189" s="11">
        <v>75</v>
      </c>
      <c r="AI1189" s="11">
        <v>74</v>
      </c>
      <c r="AJ1189" s="11">
        <v>66</v>
      </c>
      <c r="AK1189" s="11" t="s">
        <v>75</v>
      </c>
      <c r="AL1189" s="11" t="s">
        <v>44</v>
      </c>
      <c r="AM1189" s="10">
        <v>0.8</v>
      </c>
      <c r="AN1189" s="9">
        <v>437</v>
      </c>
      <c r="AO1189" s="8" t="s">
        <v>434</v>
      </c>
      <c r="AP1189" s="8">
        <v>910</v>
      </c>
      <c r="AQ1189" s="8">
        <v>20</v>
      </c>
      <c r="AR1189" s="8">
        <v>24.3</v>
      </c>
      <c r="AS1189" s="8">
        <v>22.4</v>
      </c>
      <c r="AT1189" s="8">
        <v>33</v>
      </c>
      <c r="AU1189" s="8">
        <v>17</v>
      </c>
      <c r="AV1189" s="8">
        <v>75</v>
      </c>
      <c r="AW1189" s="8">
        <v>54</v>
      </c>
      <c r="AX1189" s="8">
        <v>420</v>
      </c>
      <c r="AY1189" s="8">
        <v>55</v>
      </c>
      <c r="AZ1189" s="8" t="s">
        <v>63</v>
      </c>
      <c r="BA1189" s="7" t="s">
        <v>46</v>
      </c>
      <c r="BB1189" s="9">
        <v>400</v>
      </c>
      <c r="BC1189" s="8" t="s">
        <v>433</v>
      </c>
      <c r="BD1189" s="8">
        <v>0.2</v>
      </c>
      <c r="BE1189" s="8">
        <v>0.3</v>
      </c>
      <c r="BF1189" s="8">
        <v>0.9</v>
      </c>
      <c r="BG1189" s="8">
        <v>2.2999999999999998</v>
      </c>
      <c r="BH1189" s="8">
        <v>4.8</v>
      </c>
      <c r="BI1189" s="8">
        <v>8.4</v>
      </c>
      <c r="BJ1189" s="8">
        <v>12</v>
      </c>
      <c r="BK1189" s="8">
        <v>10.6</v>
      </c>
      <c r="BL1189" s="8">
        <v>6.3</v>
      </c>
      <c r="BM1189" s="8">
        <v>2.7</v>
      </c>
      <c r="BN1189" s="8">
        <v>0.7</v>
      </c>
      <c r="BO1189" s="8">
        <v>0.3</v>
      </c>
      <c r="BP1189" s="7">
        <v>4.0999999999999996</v>
      </c>
    </row>
    <row r="1190" spans="1:68" ht="14.25" customHeight="1">
      <c r="A1190" s="12">
        <v>533</v>
      </c>
      <c r="B1190" s="14">
        <v>438</v>
      </c>
      <c r="C1190" s="13" t="s">
        <v>30</v>
      </c>
      <c r="D1190" s="13" t="s">
        <v>57</v>
      </c>
      <c r="E1190" s="13" t="s">
        <v>431</v>
      </c>
      <c r="F1190" s="11">
        <v>-35.5</v>
      </c>
      <c r="G1190" s="11">
        <v>-31.6</v>
      </c>
      <c r="H1190" s="11">
        <v>-20</v>
      </c>
      <c r="I1190" s="11">
        <v>-5.8</v>
      </c>
      <c r="J1190" s="11">
        <v>5.4</v>
      </c>
      <c r="K1190" s="11">
        <v>13.7</v>
      </c>
      <c r="L1190" s="11">
        <v>17.2</v>
      </c>
      <c r="M1190" s="11">
        <v>13.5</v>
      </c>
      <c r="N1190" s="11">
        <v>5.5</v>
      </c>
      <c r="O1190" s="11">
        <v>-6.7</v>
      </c>
      <c r="P1190" s="11">
        <v>-24.4</v>
      </c>
      <c r="Q1190" s="11">
        <v>-33.9</v>
      </c>
      <c r="R1190" s="10">
        <v>-8.6</v>
      </c>
      <c r="S1190" s="12">
        <v>438</v>
      </c>
      <c r="T1190" s="8" t="s">
        <v>431</v>
      </c>
      <c r="U1190" s="11">
        <v>-56</v>
      </c>
      <c r="V1190" s="11">
        <v>-54</v>
      </c>
      <c r="W1190" s="11">
        <v>-54</v>
      </c>
      <c r="X1190" s="11">
        <v>-51</v>
      </c>
      <c r="Y1190" s="11">
        <v>-41</v>
      </c>
      <c r="Z1190" s="11">
        <v>-60</v>
      </c>
      <c r="AA1190" s="11">
        <v>12.1</v>
      </c>
      <c r="AB1190" s="11">
        <v>214</v>
      </c>
      <c r="AC1190" s="11">
        <v>-21.9</v>
      </c>
      <c r="AD1190" s="11">
        <v>262</v>
      </c>
      <c r="AE1190" s="11">
        <v>-17.100000000000001</v>
      </c>
      <c r="AF1190" s="11">
        <v>277</v>
      </c>
      <c r="AG1190" s="11">
        <v>-15.7</v>
      </c>
      <c r="AH1190" s="11">
        <v>77</v>
      </c>
      <c r="AI1190" s="11">
        <v>77</v>
      </c>
      <c r="AJ1190" s="11">
        <v>92</v>
      </c>
      <c r="AK1190" s="11" t="s">
        <v>75</v>
      </c>
      <c r="AL1190" s="11" t="s">
        <v>44</v>
      </c>
      <c r="AM1190" s="10">
        <v>1</v>
      </c>
      <c r="AN1190" s="9">
        <v>438</v>
      </c>
      <c r="AO1190" s="8" t="s">
        <v>432</v>
      </c>
      <c r="AP1190" s="8">
        <v>975</v>
      </c>
      <c r="AQ1190" s="8">
        <v>23.1</v>
      </c>
      <c r="AR1190" s="8">
        <v>27.2</v>
      </c>
      <c r="AS1190" s="8">
        <v>25.5</v>
      </c>
      <c r="AT1190" s="8">
        <v>38</v>
      </c>
      <c r="AU1190" s="8">
        <v>16.3</v>
      </c>
      <c r="AV1190" s="8">
        <v>73</v>
      </c>
      <c r="AW1190" s="8">
        <v>52</v>
      </c>
      <c r="AX1190" s="8">
        <v>343</v>
      </c>
      <c r="AY1190" s="8">
        <v>64</v>
      </c>
      <c r="AZ1190" s="8" t="s">
        <v>32</v>
      </c>
      <c r="BA1190" s="7" t="s">
        <v>46</v>
      </c>
      <c r="BB1190" s="9">
        <v>401</v>
      </c>
      <c r="BC1190" s="8" t="s">
        <v>431</v>
      </c>
      <c r="BD1190" s="8">
        <v>0.3</v>
      </c>
      <c r="BE1190" s="8">
        <v>0.5</v>
      </c>
      <c r="BF1190" s="8">
        <v>1.1000000000000001</v>
      </c>
      <c r="BG1190" s="8">
        <v>2.8</v>
      </c>
      <c r="BH1190" s="8">
        <v>5.5</v>
      </c>
      <c r="BI1190" s="8">
        <v>10.1</v>
      </c>
      <c r="BJ1190" s="8">
        <v>13.9</v>
      </c>
      <c r="BK1190" s="8">
        <v>12.3</v>
      </c>
      <c r="BL1190" s="8">
        <v>7.2</v>
      </c>
      <c r="BM1190" s="8">
        <v>3.2</v>
      </c>
      <c r="BN1190" s="8">
        <v>1</v>
      </c>
      <c r="BO1190" s="8">
        <v>0.4</v>
      </c>
      <c r="BP1190" s="7">
        <v>4.9000000000000004</v>
      </c>
    </row>
    <row r="1191" spans="1:68" ht="14.25" customHeight="1">
      <c r="A1191" s="12">
        <v>534</v>
      </c>
      <c r="B1191" s="14">
        <v>439</v>
      </c>
      <c r="C1191" s="13" t="s">
        <v>30</v>
      </c>
      <c r="D1191" s="13" t="s">
        <v>57</v>
      </c>
      <c r="E1191" s="13" t="s">
        <v>429</v>
      </c>
      <c r="F1191" s="11">
        <v>-44.3</v>
      </c>
      <c r="G1191" s="11">
        <v>-39.200000000000003</v>
      </c>
      <c r="H1191" s="11">
        <v>-27.3</v>
      </c>
      <c r="I1191" s="11">
        <v>-11.8</v>
      </c>
      <c r="J1191" s="11">
        <v>3.2</v>
      </c>
      <c r="K1191" s="11">
        <v>12.3</v>
      </c>
      <c r="L1191" s="11">
        <v>15.3</v>
      </c>
      <c r="M1191" s="11">
        <v>11.7</v>
      </c>
      <c r="N1191" s="11">
        <v>3.1</v>
      </c>
      <c r="O1191" s="11">
        <v>-13.3</v>
      </c>
      <c r="P1191" s="11">
        <v>-34.299999999999997</v>
      </c>
      <c r="Q1191" s="11">
        <v>-42.2</v>
      </c>
      <c r="R1191" s="10">
        <v>-13.9</v>
      </c>
      <c r="S1191" s="12">
        <v>439</v>
      </c>
      <c r="T1191" s="8" t="s">
        <v>429</v>
      </c>
      <c r="U1191" s="11">
        <v>-59</v>
      </c>
      <c r="V1191" s="11">
        <v>-58</v>
      </c>
      <c r="W1191" s="11">
        <v>-57</v>
      </c>
      <c r="X1191" s="11">
        <v>-55</v>
      </c>
      <c r="Y1191" s="11">
        <v>-49</v>
      </c>
      <c r="Z1191" s="11">
        <v>-60</v>
      </c>
      <c r="AA1191" s="11">
        <v>7.7</v>
      </c>
      <c r="AB1191" s="11">
        <v>230</v>
      </c>
      <c r="AC1191" s="11">
        <v>-27.6</v>
      </c>
      <c r="AD1191" s="11">
        <v>276</v>
      </c>
      <c r="AE1191" s="11">
        <v>-22.2</v>
      </c>
      <c r="AF1191" s="11">
        <v>290</v>
      </c>
      <c r="AG1191" s="11">
        <v>-20.8</v>
      </c>
      <c r="AH1191" s="11">
        <v>74</v>
      </c>
      <c r="AI1191" s="11">
        <v>74</v>
      </c>
      <c r="AJ1191" s="11">
        <v>33</v>
      </c>
      <c r="AK1191" s="11" t="s">
        <v>75</v>
      </c>
      <c r="AL1191" s="11">
        <v>3.1</v>
      </c>
      <c r="AM1191" s="10">
        <v>2.4</v>
      </c>
      <c r="AN1191" s="9">
        <v>439</v>
      </c>
      <c r="AO1191" s="8" t="s">
        <v>430</v>
      </c>
      <c r="AP1191" s="8">
        <v>965</v>
      </c>
      <c r="AQ1191" s="8">
        <v>19.8</v>
      </c>
      <c r="AR1191" s="8">
        <v>25</v>
      </c>
      <c r="AS1191" s="8">
        <v>23.2</v>
      </c>
      <c r="AT1191" s="8">
        <v>36</v>
      </c>
      <c r="AU1191" s="8">
        <v>15.5</v>
      </c>
      <c r="AV1191" s="8">
        <v>67</v>
      </c>
      <c r="AW1191" s="8">
        <v>49</v>
      </c>
      <c r="AX1191" s="8">
        <v>252</v>
      </c>
      <c r="AY1191" s="8">
        <v>55</v>
      </c>
      <c r="AZ1191" s="8" t="s">
        <v>151</v>
      </c>
      <c r="BA1191" s="7">
        <v>0</v>
      </c>
      <c r="BB1191" s="9">
        <v>402</v>
      </c>
      <c r="BC1191" s="8" t="s">
        <v>429</v>
      </c>
      <c r="BD1191" s="8">
        <v>0.1</v>
      </c>
      <c r="BE1191" s="8">
        <v>0.2</v>
      </c>
      <c r="BF1191" s="8">
        <v>0.6</v>
      </c>
      <c r="BG1191" s="8">
        <v>2</v>
      </c>
      <c r="BH1191" s="8">
        <v>4.5999999999999996</v>
      </c>
      <c r="BI1191" s="8">
        <v>8.6999999999999993</v>
      </c>
      <c r="BJ1191" s="8">
        <v>11.3</v>
      </c>
      <c r="BK1191" s="8">
        <v>9.8000000000000007</v>
      </c>
      <c r="BL1191" s="8">
        <v>5.7</v>
      </c>
      <c r="BM1191" s="8">
        <v>2.1</v>
      </c>
      <c r="BN1191" s="8">
        <v>0.4</v>
      </c>
      <c r="BO1191" s="8">
        <v>0.2</v>
      </c>
      <c r="BP1191" s="7">
        <v>3.8</v>
      </c>
    </row>
    <row r="1192" spans="1:68" ht="14.25" customHeight="1">
      <c r="A1192" s="12">
        <v>535</v>
      </c>
      <c r="B1192" s="14">
        <v>320</v>
      </c>
      <c r="C1192" s="13" t="s">
        <v>30</v>
      </c>
      <c r="D1192" s="13" t="s">
        <v>307</v>
      </c>
      <c r="E1192" s="13" t="s">
        <v>426</v>
      </c>
      <c r="F1192" s="11">
        <v>-19.100000000000001</v>
      </c>
      <c r="G1192" s="11">
        <v>-16.899999999999999</v>
      </c>
      <c r="H1192" s="11">
        <v>-9.9</v>
      </c>
      <c r="I1192" s="11">
        <v>0</v>
      </c>
      <c r="J1192" s="11">
        <v>8.6999999999999993</v>
      </c>
      <c r="K1192" s="11">
        <v>15.4</v>
      </c>
      <c r="L1192" s="11">
        <v>18.3</v>
      </c>
      <c r="M1192" s="11">
        <v>15.1</v>
      </c>
      <c r="N1192" s="11">
        <v>9.3000000000000007</v>
      </c>
      <c r="O1192" s="11">
        <v>0.8</v>
      </c>
      <c r="P1192" s="11">
        <v>-10.1</v>
      </c>
      <c r="Q1192" s="11">
        <v>-17.3</v>
      </c>
      <c r="R1192" s="10">
        <v>-0.5</v>
      </c>
      <c r="S1192" s="12">
        <v>320</v>
      </c>
      <c r="T1192" s="8" t="s">
        <v>428</v>
      </c>
      <c r="U1192" s="11">
        <v>-47</v>
      </c>
      <c r="V1192" s="11">
        <v>-44</v>
      </c>
      <c r="W1192" s="11">
        <v>-44</v>
      </c>
      <c r="X1192" s="11">
        <v>-40</v>
      </c>
      <c r="Y1192" s="11">
        <v>-24</v>
      </c>
      <c r="Z1192" s="11">
        <v>-55</v>
      </c>
      <c r="AA1192" s="11">
        <v>8.6999999999999993</v>
      </c>
      <c r="AB1192" s="11">
        <v>179</v>
      </c>
      <c r="AC1192" s="11">
        <v>-12.4</v>
      </c>
      <c r="AD1192" s="11">
        <v>236</v>
      </c>
      <c r="AE1192" s="11">
        <v>-8.4</v>
      </c>
      <c r="AF1192" s="11">
        <v>253</v>
      </c>
      <c r="AG1192" s="11">
        <v>-7.3</v>
      </c>
      <c r="AH1192" s="11">
        <v>80</v>
      </c>
      <c r="AI1192" s="11">
        <v>78</v>
      </c>
      <c r="AJ1192" s="11">
        <v>185</v>
      </c>
      <c r="AK1192" s="11" t="s">
        <v>34</v>
      </c>
      <c r="AL1192" s="11">
        <v>5.6</v>
      </c>
      <c r="AM1192" s="10">
        <v>4.7</v>
      </c>
      <c r="AN1192" s="9">
        <v>320</v>
      </c>
      <c r="AO1192" s="8" t="s">
        <v>427</v>
      </c>
      <c r="AP1192" s="8">
        <v>990</v>
      </c>
      <c r="AQ1192" s="8">
        <v>21.7</v>
      </c>
      <c r="AR1192" s="8">
        <v>26</v>
      </c>
      <c r="AS1192" s="8">
        <v>23.7</v>
      </c>
      <c r="AT1192" s="8">
        <v>36</v>
      </c>
      <c r="AU1192" s="8">
        <v>11</v>
      </c>
      <c r="AV1192" s="8">
        <v>74</v>
      </c>
      <c r="AW1192" s="8">
        <v>59</v>
      </c>
      <c r="AX1192" s="8">
        <v>406</v>
      </c>
      <c r="AY1192" s="8">
        <v>76</v>
      </c>
      <c r="AZ1192" s="8" t="s">
        <v>151</v>
      </c>
      <c r="BA1192" s="7">
        <v>0</v>
      </c>
      <c r="BB1192" s="9">
        <v>288</v>
      </c>
      <c r="BC1192" s="8" t="s">
        <v>426</v>
      </c>
      <c r="BD1192" s="8">
        <v>1.4</v>
      </c>
      <c r="BE1192" s="8">
        <v>1.5</v>
      </c>
      <c r="BF1192" s="8">
        <v>2.4</v>
      </c>
      <c r="BG1192" s="8">
        <v>4.4000000000000004</v>
      </c>
      <c r="BH1192" s="8">
        <v>6.9</v>
      </c>
      <c r="BI1192" s="8">
        <v>11.8</v>
      </c>
      <c r="BJ1192" s="8">
        <v>15.4</v>
      </c>
      <c r="BK1192" s="8">
        <v>13.3</v>
      </c>
      <c r="BL1192" s="8">
        <v>9</v>
      </c>
      <c r="BM1192" s="8">
        <v>5.2</v>
      </c>
      <c r="BN1192" s="8">
        <v>2.8</v>
      </c>
      <c r="BO1192" s="8">
        <v>1.7</v>
      </c>
      <c r="BP1192" s="7">
        <v>6.3</v>
      </c>
    </row>
    <row r="1193" spans="1:68" ht="14.25" customHeight="1">
      <c r="A1193" s="12">
        <v>536</v>
      </c>
      <c r="B1193" s="14">
        <v>145</v>
      </c>
      <c r="C1193" s="13" t="s">
        <v>30</v>
      </c>
      <c r="D1193" s="13" t="s">
        <v>325</v>
      </c>
      <c r="E1193" s="13" t="s">
        <v>423</v>
      </c>
      <c r="F1193" s="11">
        <v>-18.2</v>
      </c>
      <c r="G1193" s="11">
        <v>-16.100000000000001</v>
      </c>
      <c r="H1193" s="11">
        <v>-10.199999999999999</v>
      </c>
      <c r="I1193" s="11">
        <v>-0.2</v>
      </c>
      <c r="J1193" s="11">
        <v>8.9</v>
      </c>
      <c r="K1193" s="11">
        <v>15.8</v>
      </c>
      <c r="L1193" s="11">
        <v>18.2</v>
      </c>
      <c r="M1193" s="11">
        <v>15.4</v>
      </c>
      <c r="N1193" s="11">
        <v>9.1999999999999993</v>
      </c>
      <c r="O1193" s="11">
        <v>0.7</v>
      </c>
      <c r="P1193" s="11">
        <v>-10.199999999999999</v>
      </c>
      <c r="Q1193" s="11">
        <v>-16.5</v>
      </c>
      <c r="R1193" s="10">
        <v>-0.3</v>
      </c>
      <c r="S1193" s="12">
        <v>145</v>
      </c>
      <c r="T1193" s="8" t="s">
        <v>425</v>
      </c>
      <c r="U1193" s="11">
        <v>-46</v>
      </c>
      <c r="V1193" s="11">
        <v>-42</v>
      </c>
      <c r="W1193" s="11">
        <v>-42</v>
      </c>
      <c r="X1193" s="11">
        <v>-39</v>
      </c>
      <c r="Y1193" s="11">
        <v>-23</v>
      </c>
      <c r="Z1193" s="11">
        <v>-51</v>
      </c>
      <c r="AA1193" s="11">
        <v>7.7</v>
      </c>
      <c r="AB1193" s="11">
        <v>180</v>
      </c>
      <c r="AC1193" s="11">
        <v>-11.9</v>
      </c>
      <c r="AD1193" s="11">
        <v>235</v>
      </c>
      <c r="AE1193" s="11">
        <v>-8.1999999999999993</v>
      </c>
      <c r="AF1193" s="11">
        <v>251</v>
      </c>
      <c r="AG1193" s="11">
        <v>-7.1</v>
      </c>
      <c r="AH1193" s="11">
        <v>84</v>
      </c>
      <c r="AI1193" s="11">
        <v>82</v>
      </c>
      <c r="AJ1193" s="11">
        <v>256</v>
      </c>
      <c r="AK1193" s="11" t="s">
        <v>34</v>
      </c>
      <c r="AL1193" s="11" t="s">
        <v>44</v>
      </c>
      <c r="AM1193" s="10" t="s">
        <v>44</v>
      </c>
      <c r="AN1193" s="9">
        <v>145</v>
      </c>
      <c r="AO1193" s="8" t="s">
        <v>424</v>
      </c>
      <c r="AP1193" s="8">
        <v>975</v>
      </c>
      <c r="AQ1193" s="8">
        <v>21.4</v>
      </c>
      <c r="AR1193" s="8">
        <v>25.6</v>
      </c>
      <c r="AS1193" s="8">
        <v>23.8</v>
      </c>
      <c r="AT1193" s="8">
        <v>37</v>
      </c>
      <c r="AU1193" s="8">
        <v>10.9</v>
      </c>
      <c r="AV1193" s="8">
        <v>73</v>
      </c>
      <c r="AW1193" s="8">
        <v>58</v>
      </c>
      <c r="AX1193" s="8">
        <v>423</v>
      </c>
      <c r="AY1193" s="8">
        <v>55</v>
      </c>
      <c r="AZ1193" s="8" t="s">
        <v>151</v>
      </c>
      <c r="BA1193" s="7" t="s">
        <v>46</v>
      </c>
      <c r="BB1193" s="9"/>
      <c r="BC1193" s="8" t="s">
        <v>423</v>
      </c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7"/>
    </row>
    <row r="1194" spans="1:68" ht="14.25" customHeight="1">
      <c r="A1194" s="12">
        <v>537</v>
      </c>
      <c r="B1194" s="14">
        <v>76</v>
      </c>
      <c r="C1194" s="13" t="s">
        <v>30</v>
      </c>
      <c r="D1194" s="13" t="s">
        <v>422</v>
      </c>
      <c r="E1194" s="13" t="s">
        <v>419</v>
      </c>
      <c r="F1194" s="11">
        <v>-13.1</v>
      </c>
      <c r="G1194" s="11">
        <v>-11.9</v>
      </c>
      <c r="H1194" s="11">
        <v>-6.2</v>
      </c>
      <c r="I1194" s="11">
        <v>2.1</v>
      </c>
      <c r="J1194" s="11">
        <v>9.1</v>
      </c>
      <c r="K1194" s="11">
        <v>14.3</v>
      </c>
      <c r="L1194" s="11">
        <v>17</v>
      </c>
      <c r="M1194" s="11">
        <v>14.5</v>
      </c>
      <c r="N1194" s="11">
        <v>8.5</v>
      </c>
      <c r="O1194" s="11">
        <v>1.9</v>
      </c>
      <c r="P1194" s="11">
        <v>-4.5</v>
      </c>
      <c r="Q1194" s="11">
        <v>-10.4</v>
      </c>
      <c r="R1194" s="10">
        <v>1.8</v>
      </c>
      <c r="S1194" s="12">
        <v>76</v>
      </c>
      <c r="T1194" s="8" t="s">
        <v>421</v>
      </c>
      <c r="U1194" s="11">
        <v>-39</v>
      </c>
      <c r="V1194" s="11">
        <v>-37</v>
      </c>
      <c r="W1194" s="11">
        <v>-36</v>
      </c>
      <c r="X1194" s="11">
        <v>-32</v>
      </c>
      <c r="Y1194" s="11">
        <v>-18</v>
      </c>
      <c r="Z1194" s="11">
        <v>-46</v>
      </c>
      <c r="AA1194" s="11">
        <v>7.3</v>
      </c>
      <c r="AB1194" s="11">
        <v>165</v>
      </c>
      <c r="AC1194" s="11">
        <v>-8.1999999999999993</v>
      </c>
      <c r="AD1194" s="11">
        <v>235</v>
      </c>
      <c r="AE1194" s="11">
        <v>-4.5</v>
      </c>
      <c r="AF1194" s="11">
        <v>255</v>
      </c>
      <c r="AG1194" s="11">
        <v>-3.4</v>
      </c>
      <c r="AH1194" s="11">
        <v>86</v>
      </c>
      <c r="AI1194" s="11">
        <v>86</v>
      </c>
      <c r="AJ1194" s="11">
        <v>199</v>
      </c>
      <c r="AK1194" s="11" t="s">
        <v>39</v>
      </c>
      <c r="AL1194" s="11">
        <v>4.5</v>
      </c>
      <c r="AM1194" s="10">
        <v>3.6</v>
      </c>
      <c r="AN1194" s="9">
        <v>76</v>
      </c>
      <c r="AO1194" s="8" t="s">
        <v>420</v>
      </c>
      <c r="AP1194" s="8">
        <v>995</v>
      </c>
      <c r="AQ1194" s="8">
        <v>20</v>
      </c>
      <c r="AR1194" s="8">
        <v>24.3</v>
      </c>
      <c r="AS1194" s="8">
        <v>22.4</v>
      </c>
      <c r="AT1194" s="8">
        <v>37</v>
      </c>
      <c r="AU1194" s="8">
        <v>11.5</v>
      </c>
      <c r="AV1194" s="8">
        <v>75</v>
      </c>
      <c r="AW1194" s="8">
        <v>60</v>
      </c>
      <c r="AX1194" s="8">
        <v>460</v>
      </c>
      <c r="AY1194" s="8">
        <v>69</v>
      </c>
      <c r="AZ1194" s="8" t="s">
        <v>82</v>
      </c>
      <c r="BA1194" s="7">
        <v>3</v>
      </c>
      <c r="BB1194" s="9">
        <v>61</v>
      </c>
      <c r="BC1194" s="8" t="s">
        <v>419</v>
      </c>
      <c r="BD1194" s="8">
        <v>2.4</v>
      </c>
      <c r="BE1194" s="8">
        <v>2.4</v>
      </c>
      <c r="BF1194" s="8">
        <v>3.3</v>
      </c>
      <c r="BG1194" s="8">
        <v>5.0999999999999996</v>
      </c>
      <c r="BH1194" s="8">
        <v>7.6</v>
      </c>
      <c r="BI1194" s="8">
        <v>11.5</v>
      </c>
      <c r="BJ1194" s="8">
        <v>14.2</v>
      </c>
      <c r="BK1194" s="8">
        <v>13.3</v>
      </c>
      <c r="BL1194" s="8">
        <v>9.6</v>
      </c>
      <c r="BM1194" s="8">
        <v>6.3</v>
      </c>
      <c r="BN1194" s="8">
        <v>4.3</v>
      </c>
      <c r="BO1194" s="8">
        <v>3.1</v>
      </c>
      <c r="BP1194" s="7">
        <v>6.9</v>
      </c>
    </row>
    <row r="1195" spans="1:68" ht="14.25" customHeight="1">
      <c r="A1195" s="12">
        <v>538</v>
      </c>
      <c r="B1195" s="14">
        <v>189</v>
      </c>
      <c r="C1195" s="13" t="s">
        <v>30</v>
      </c>
      <c r="D1195" s="13" t="s">
        <v>29</v>
      </c>
      <c r="E1195" s="13" t="s">
        <v>416</v>
      </c>
      <c r="F1195" s="11">
        <v>-22.8</v>
      </c>
      <c r="G1195" s="11">
        <v>-20.3</v>
      </c>
      <c r="H1195" s="11">
        <v>-11.5</v>
      </c>
      <c r="I1195" s="11">
        <v>-0.8</v>
      </c>
      <c r="J1195" s="11">
        <v>6.9</v>
      </c>
      <c r="K1195" s="11">
        <v>14.5</v>
      </c>
      <c r="L1195" s="11">
        <v>17.5</v>
      </c>
      <c r="M1195" s="11">
        <v>14</v>
      </c>
      <c r="N1195" s="11">
        <v>7</v>
      </c>
      <c r="O1195" s="11">
        <v>-1</v>
      </c>
      <c r="P1195" s="11">
        <v>-12.5</v>
      </c>
      <c r="Q1195" s="11">
        <v>-21.9</v>
      </c>
      <c r="R1195" s="10">
        <v>-2.6</v>
      </c>
      <c r="S1195" s="12">
        <v>189</v>
      </c>
      <c r="T1195" s="8" t="s">
        <v>418</v>
      </c>
      <c r="U1195" s="11">
        <v>-51</v>
      </c>
      <c r="V1195" s="11">
        <v>-50</v>
      </c>
      <c r="W1195" s="11">
        <v>-49</v>
      </c>
      <c r="X1195" s="11">
        <v>-47</v>
      </c>
      <c r="Y1195" s="11">
        <v>-28</v>
      </c>
      <c r="Z1195" s="11">
        <v>-57</v>
      </c>
      <c r="AA1195" s="11">
        <v>13.1</v>
      </c>
      <c r="AB1195" s="11">
        <v>188</v>
      </c>
      <c r="AC1195" s="11">
        <v>-14.4</v>
      </c>
      <c r="AD1195" s="11">
        <v>251</v>
      </c>
      <c r="AE1195" s="11">
        <v>-9.8000000000000007</v>
      </c>
      <c r="AF1195" s="11">
        <v>268</v>
      </c>
      <c r="AG1195" s="11">
        <v>-8.6</v>
      </c>
      <c r="AH1195" s="11">
        <v>76</v>
      </c>
      <c r="AI1195" s="11">
        <v>73</v>
      </c>
      <c r="AJ1195" s="11">
        <v>121</v>
      </c>
      <c r="AK1195" s="11" t="s">
        <v>39</v>
      </c>
      <c r="AL1195" s="11" t="s">
        <v>44</v>
      </c>
      <c r="AM1195" s="10">
        <v>1.9</v>
      </c>
      <c r="AN1195" s="9">
        <v>189</v>
      </c>
      <c r="AO1195" s="8" t="s">
        <v>417</v>
      </c>
      <c r="AP1195" s="8">
        <v>995</v>
      </c>
      <c r="AQ1195" s="8">
        <v>23</v>
      </c>
      <c r="AR1195" s="8">
        <v>27.1</v>
      </c>
      <c r="AS1195" s="8">
        <v>25.4</v>
      </c>
      <c r="AT1195" s="8">
        <v>36</v>
      </c>
      <c r="AU1195" s="8">
        <v>16.7</v>
      </c>
      <c r="AV1195" s="8">
        <v>73</v>
      </c>
      <c r="AW1195" s="8">
        <v>54</v>
      </c>
      <c r="AX1195" s="8">
        <v>326</v>
      </c>
      <c r="AY1195" s="8">
        <v>93</v>
      </c>
      <c r="AZ1195" s="8" t="s">
        <v>82</v>
      </c>
      <c r="BA1195" s="7" t="s">
        <v>46</v>
      </c>
      <c r="BB1195" s="9">
        <v>167</v>
      </c>
      <c r="BC1195" s="8" t="s">
        <v>416</v>
      </c>
      <c r="BD1195" s="8">
        <v>1.1000000000000001</v>
      </c>
      <c r="BE1195" s="8">
        <v>1.2</v>
      </c>
      <c r="BF1195" s="8">
        <v>2.1</v>
      </c>
      <c r="BG1195" s="8">
        <v>3.8</v>
      </c>
      <c r="BH1195" s="8">
        <v>6.1</v>
      </c>
      <c r="BI1195" s="8">
        <v>10.9</v>
      </c>
      <c r="BJ1195" s="8">
        <v>14.4</v>
      </c>
      <c r="BK1195" s="8">
        <v>12.5</v>
      </c>
      <c r="BL1195" s="8">
        <v>8.1</v>
      </c>
      <c r="BM1195" s="8">
        <v>4.5999999999999996</v>
      </c>
      <c r="BN1195" s="8">
        <v>2.2999999999999998</v>
      </c>
      <c r="BO1195" s="8">
        <v>1.3</v>
      </c>
      <c r="BP1195" s="7">
        <v>5.7</v>
      </c>
    </row>
    <row r="1196" spans="1:68" ht="14.25" customHeight="1">
      <c r="A1196" s="12">
        <v>539</v>
      </c>
      <c r="B1196" s="14">
        <v>366</v>
      </c>
      <c r="C1196" s="13" t="s">
        <v>30</v>
      </c>
      <c r="D1196" s="13" t="s">
        <v>86</v>
      </c>
      <c r="E1196" s="13" t="s">
        <v>416</v>
      </c>
      <c r="F1196" s="11">
        <v>-23.3</v>
      </c>
      <c r="G1196" s="11">
        <v>-18.2</v>
      </c>
      <c r="H1196" s="11">
        <v>-9.4</v>
      </c>
      <c r="I1196" s="11">
        <v>2.1</v>
      </c>
      <c r="J1196" s="11">
        <v>10.3</v>
      </c>
      <c r="K1196" s="11">
        <v>16.7</v>
      </c>
      <c r="L1196" s="11">
        <v>20.5</v>
      </c>
      <c r="M1196" s="11">
        <v>19.2</v>
      </c>
      <c r="N1196" s="11">
        <v>13.1</v>
      </c>
      <c r="O1196" s="11">
        <v>3.9</v>
      </c>
      <c r="P1196" s="11">
        <v>-8.6999999999999993</v>
      </c>
      <c r="Q1196" s="11">
        <v>-19.2</v>
      </c>
      <c r="R1196" s="10">
        <v>0.6</v>
      </c>
      <c r="S1196" s="12">
        <v>366</v>
      </c>
      <c r="T1196" s="8" t="s">
        <v>418</v>
      </c>
      <c r="U1196" s="11">
        <v>-36</v>
      </c>
      <c r="V1196" s="11">
        <v>-34</v>
      </c>
      <c r="W1196" s="11">
        <v>-32</v>
      </c>
      <c r="X1196" s="11">
        <v>-31</v>
      </c>
      <c r="Y1196" s="11">
        <v>-28</v>
      </c>
      <c r="Z1196" s="11">
        <v>-47</v>
      </c>
      <c r="AA1196" s="11">
        <v>8.6999999999999993</v>
      </c>
      <c r="AB1196" s="11">
        <v>166</v>
      </c>
      <c r="AC1196" s="11">
        <v>-13.9</v>
      </c>
      <c r="AD1196" s="11">
        <v>217</v>
      </c>
      <c r="AE1196" s="11">
        <v>-9.6999999999999993</v>
      </c>
      <c r="AF1196" s="11">
        <v>231</v>
      </c>
      <c r="AG1196" s="11">
        <v>-8.5</v>
      </c>
      <c r="AH1196" s="11">
        <v>74</v>
      </c>
      <c r="AI1196" s="11">
        <v>70</v>
      </c>
      <c r="AJ1196" s="11">
        <v>137</v>
      </c>
      <c r="AK1196" s="11" t="s">
        <v>34</v>
      </c>
      <c r="AL1196" s="11" t="s">
        <v>44</v>
      </c>
      <c r="AM1196" s="10">
        <v>4.2</v>
      </c>
      <c r="AN1196" s="9">
        <v>366</v>
      </c>
      <c r="AO1196" s="8" t="s">
        <v>417</v>
      </c>
      <c r="AP1196" s="8">
        <v>1005</v>
      </c>
      <c r="AQ1196" s="8">
        <v>22.9</v>
      </c>
      <c r="AR1196" s="8">
        <v>27</v>
      </c>
      <c r="AS1196" s="8">
        <v>25.3</v>
      </c>
      <c r="AT1196" s="8">
        <v>39</v>
      </c>
      <c r="AU1196" s="8">
        <v>9.5</v>
      </c>
      <c r="AV1196" s="8">
        <v>80</v>
      </c>
      <c r="AW1196" s="8">
        <v>70</v>
      </c>
      <c r="AX1196" s="8">
        <v>549</v>
      </c>
      <c r="AY1196" s="8">
        <v>78</v>
      </c>
      <c r="AZ1196" s="8" t="s">
        <v>37</v>
      </c>
      <c r="BA1196" s="7" t="s">
        <v>46</v>
      </c>
      <c r="BB1196" s="9">
        <v>331</v>
      </c>
      <c r="BC1196" s="8" t="s">
        <v>416</v>
      </c>
      <c r="BD1196" s="8">
        <v>0.8</v>
      </c>
      <c r="BE1196" s="8">
        <v>1.2</v>
      </c>
      <c r="BF1196" s="8">
        <v>2.2000000000000002</v>
      </c>
      <c r="BG1196" s="8">
        <v>4.5999999999999996</v>
      </c>
      <c r="BH1196" s="8">
        <v>8</v>
      </c>
      <c r="BI1196" s="8">
        <v>14.2</v>
      </c>
      <c r="BJ1196" s="8">
        <v>19.3</v>
      </c>
      <c r="BK1196" s="8">
        <v>18.7</v>
      </c>
      <c r="BL1196" s="8">
        <v>12.3</v>
      </c>
      <c r="BM1196" s="8">
        <v>5.9</v>
      </c>
      <c r="BN1196" s="8">
        <v>2.5</v>
      </c>
      <c r="BO1196" s="8">
        <v>1.1000000000000001</v>
      </c>
      <c r="BP1196" s="7">
        <v>7.6</v>
      </c>
    </row>
    <row r="1197" spans="1:68" ht="14.25" customHeight="1">
      <c r="A1197" s="12">
        <v>540</v>
      </c>
      <c r="B1197" s="14">
        <v>156</v>
      </c>
      <c r="C1197" s="13" t="s">
        <v>30</v>
      </c>
      <c r="D1197" s="13" t="s">
        <v>280</v>
      </c>
      <c r="E1197" s="13" t="s">
        <v>413</v>
      </c>
      <c r="F1197" s="11">
        <v>-18</v>
      </c>
      <c r="G1197" s="11">
        <v>-16</v>
      </c>
      <c r="H1197" s="11">
        <v>-9.4</v>
      </c>
      <c r="I1197" s="11">
        <v>-0.3</v>
      </c>
      <c r="J1197" s="11">
        <v>5.7</v>
      </c>
      <c r="K1197" s="11">
        <v>12.8</v>
      </c>
      <c r="L1197" s="11">
        <v>15.9</v>
      </c>
      <c r="M1197" s="11">
        <v>13</v>
      </c>
      <c r="N1197" s="11">
        <v>7</v>
      </c>
      <c r="O1197" s="11">
        <v>-1</v>
      </c>
      <c r="P1197" s="11">
        <v>-9</v>
      </c>
      <c r="Q1197" s="11">
        <v>-15.5</v>
      </c>
      <c r="R1197" s="10">
        <v>-1.2</v>
      </c>
      <c r="S1197" s="12">
        <v>156</v>
      </c>
      <c r="T1197" s="8" t="s">
        <v>415</v>
      </c>
      <c r="U1197" s="11">
        <v>-47</v>
      </c>
      <c r="V1197" s="11">
        <v>-46</v>
      </c>
      <c r="W1197" s="11">
        <v>-43</v>
      </c>
      <c r="X1197" s="11">
        <v>-41</v>
      </c>
      <c r="Y1197" s="11">
        <v>-23</v>
      </c>
      <c r="Z1197" s="11">
        <v>-51</v>
      </c>
      <c r="AA1197" s="11">
        <v>8.9</v>
      </c>
      <c r="AB1197" s="11">
        <v>187</v>
      </c>
      <c r="AC1197" s="11">
        <v>-11.1</v>
      </c>
      <c r="AD1197" s="11">
        <v>258</v>
      </c>
      <c r="AE1197" s="11">
        <v>-6.9</v>
      </c>
      <c r="AF1197" s="11">
        <v>276</v>
      </c>
      <c r="AG1197" s="11">
        <v>-5.9</v>
      </c>
      <c r="AH1197" s="11">
        <v>83</v>
      </c>
      <c r="AI1197" s="11">
        <v>80</v>
      </c>
      <c r="AJ1197" s="11">
        <v>181</v>
      </c>
      <c r="AK1197" s="11" t="s">
        <v>34</v>
      </c>
      <c r="AL1197" s="11">
        <v>4.8</v>
      </c>
      <c r="AM1197" s="10">
        <v>3.2</v>
      </c>
      <c r="AN1197" s="9">
        <v>156</v>
      </c>
      <c r="AO1197" s="8" t="s">
        <v>414</v>
      </c>
      <c r="AP1197" s="8">
        <v>1000</v>
      </c>
      <c r="AQ1197" s="8">
        <v>19.3</v>
      </c>
      <c r="AR1197" s="8">
        <v>24.6</v>
      </c>
      <c r="AS1197" s="8">
        <v>21.6</v>
      </c>
      <c r="AT1197" s="8">
        <v>35</v>
      </c>
      <c r="AU1197" s="8">
        <v>11.6</v>
      </c>
      <c r="AV1197" s="8">
        <v>70</v>
      </c>
      <c r="AW1197" s="8">
        <v>58</v>
      </c>
      <c r="AX1197" s="8">
        <v>409</v>
      </c>
      <c r="AY1197" s="8">
        <v>58</v>
      </c>
      <c r="AZ1197" s="8" t="s">
        <v>54</v>
      </c>
      <c r="BA1197" s="7">
        <v>3</v>
      </c>
      <c r="BB1197" s="9">
        <v>136</v>
      </c>
      <c r="BC1197" s="8" t="s">
        <v>413</v>
      </c>
      <c r="BD1197" s="8">
        <v>1.6</v>
      </c>
      <c r="BE1197" s="8">
        <v>1.8</v>
      </c>
      <c r="BF1197" s="8">
        <v>2.7</v>
      </c>
      <c r="BG1197" s="8">
        <v>4.3</v>
      </c>
      <c r="BH1197" s="8">
        <v>6.1</v>
      </c>
      <c r="BI1197" s="8">
        <v>9.5</v>
      </c>
      <c r="BJ1197" s="8">
        <v>12.6</v>
      </c>
      <c r="BK1197" s="8">
        <v>11.8</v>
      </c>
      <c r="BL1197" s="8">
        <v>8.6</v>
      </c>
      <c r="BM1197" s="8">
        <v>5.3</v>
      </c>
      <c r="BN1197" s="8">
        <v>3.3</v>
      </c>
      <c r="BO1197" s="8">
        <v>2.2000000000000002</v>
      </c>
      <c r="BP1197" s="7">
        <v>5.8</v>
      </c>
    </row>
    <row r="1198" spans="1:68" ht="14.25" customHeight="1">
      <c r="A1198" s="12">
        <v>541</v>
      </c>
      <c r="B1198" s="14">
        <v>323</v>
      </c>
      <c r="C1198" s="13" t="s">
        <v>30</v>
      </c>
      <c r="D1198" s="13" t="s">
        <v>412</v>
      </c>
      <c r="E1198" s="13" t="s">
        <v>409</v>
      </c>
      <c r="F1198" s="11">
        <v>-19.899999999999999</v>
      </c>
      <c r="G1198" s="11">
        <v>-9.5</v>
      </c>
      <c r="H1198" s="11">
        <v>-4.0999999999999996</v>
      </c>
      <c r="I1198" s="11">
        <v>5</v>
      </c>
      <c r="J1198" s="11">
        <v>12.9</v>
      </c>
      <c r="K1198" s="11">
        <v>16.7</v>
      </c>
      <c r="L1198" s="11">
        <v>18.600000000000001</v>
      </c>
      <c r="M1198" s="11">
        <v>17.2</v>
      </c>
      <c r="N1198" s="11">
        <v>11.6</v>
      </c>
      <c r="O1198" s="11">
        <v>5</v>
      </c>
      <c r="P1198" s="11">
        <v>-1.1000000000000001</v>
      </c>
      <c r="Q1198" s="11">
        <v>-6.7</v>
      </c>
      <c r="R1198" s="10">
        <v>4.7</v>
      </c>
      <c r="S1198" s="12">
        <v>323</v>
      </c>
      <c r="T1198" s="8" t="s">
        <v>411</v>
      </c>
      <c r="U1198" s="11">
        <v>-35</v>
      </c>
      <c r="V1198" s="11">
        <v>-31</v>
      </c>
      <c r="W1198" s="11">
        <v>-30</v>
      </c>
      <c r="X1198" s="11">
        <v>-27</v>
      </c>
      <c r="Y1198" s="11">
        <v>-15</v>
      </c>
      <c r="Z1198" s="11">
        <v>-42</v>
      </c>
      <c r="AA1198" s="11">
        <v>6.8</v>
      </c>
      <c r="AB1198" s="11">
        <v>140</v>
      </c>
      <c r="AC1198" s="11">
        <v>-6.4</v>
      </c>
      <c r="AD1198" s="11">
        <v>207</v>
      </c>
      <c r="AE1198" s="11">
        <v>-3</v>
      </c>
      <c r="AF1198" s="11">
        <v>224</v>
      </c>
      <c r="AG1198" s="11">
        <v>-2.1</v>
      </c>
      <c r="AH1198" s="11">
        <v>83</v>
      </c>
      <c r="AI1198" s="11">
        <v>82</v>
      </c>
      <c r="AJ1198" s="11">
        <v>187</v>
      </c>
      <c r="AK1198" s="11" t="s">
        <v>27</v>
      </c>
      <c r="AL1198" s="11">
        <v>4.9000000000000004</v>
      </c>
      <c r="AM1198" s="10">
        <v>4</v>
      </c>
      <c r="AN1198" s="9">
        <v>323</v>
      </c>
      <c r="AO1198" s="8" t="s">
        <v>410</v>
      </c>
      <c r="AP1198" s="8">
        <v>995</v>
      </c>
      <c r="AQ1198" s="8">
        <v>21.9</v>
      </c>
      <c r="AR1198" s="8">
        <v>26.1</v>
      </c>
      <c r="AS1198" s="8">
        <v>24.3</v>
      </c>
      <c r="AT1198" s="8">
        <v>38</v>
      </c>
      <c r="AU1198" s="8">
        <v>11</v>
      </c>
      <c r="AV1198" s="8">
        <v>70</v>
      </c>
      <c r="AW1198" s="8">
        <v>54</v>
      </c>
      <c r="AX1198" s="8">
        <v>411</v>
      </c>
      <c r="AY1198" s="8">
        <v>68</v>
      </c>
      <c r="AZ1198" s="8" t="s">
        <v>54</v>
      </c>
      <c r="BA1198" s="7">
        <v>3.4</v>
      </c>
      <c r="BB1198" s="9">
        <v>291</v>
      </c>
      <c r="BC1198" s="8" t="s">
        <v>409</v>
      </c>
      <c r="BD1198" s="8">
        <v>2.8</v>
      </c>
      <c r="BE1198" s="8">
        <v>2.9</v>
      </c>
      <c r="BF1198" s="8">
        <v>4</v>
      </c>
      <c r="BG1198" s="8">
        <v>6.7</v>
      </c>
      <c r="BH1198" s="8">
        <v>9.3000000000000007</v>
      </c>
      <c r="BI1198" s="8">
        <v>12.5</v>
      </c>
      <c r="BJ1198" s="8">
        <v>14.9</v>
      </c>
      <c r="BK1198" s="8">
        <v>14</v>
      </c>
      <c r="BL1198" s="8">
        <v>10.3</v>
      </c>
      <c r="BM1198" s="8">
        <v>7.1</v>
      </c>
      <c r="BN1198" s="8">
        <v>5.0999999999999996</v>
      </c>
      <c r="BO1198" s="8">
        <v>3.7</v>
      </c>
      <c r="BP1198" s="7">
        <v>7.8</v>
      </c>
    </row>
    <row r="1199" spans="1:68" ht="14.25" customHeight="1">
      <c r="A1199" s="12">
        <v>542</v>
      </c>
      <c r="B1199" s="14">
        <v>106</v>
      </c>
      <c r="C1199" s="13" t="s">
        <v>30</v>
      </c>
      <c r="D1199" s="13" t="s">
        <v>300</v>
      </c>
      <c r="E1199" s="13" t="s">
        <v>406</v>
      </c>
      <c r="F1199" s="11">
        <v>-21.5</v>
      </c>
      <c r="G1199" s="11">
        <v>-18.3</v>
      </c>
      <c r="H1199" s="11">
        <v>-10.199999999999999</v>
      </c>
      <c r="I1199" s="11">
        <v>0</v>
      </c>
      <c r="J1199" s="11">
        <v>7.7</v>
      </c>
      <c r="K1199" s="11">
        <v>14.4</v>
      </c>
      <c r="L1199" s="11">
        <v>17.2</v>
      </c>
      <c r="M1199" s="11">
        <v>14.1</v>
      </c>
      <c r="N1199" s="11">
        <v>7.3</v>
      </c>
      <c r="O1199" s="11">
        <v>-0.6</v>
      </c>
      <c r="P1199" s="11">
        <v>-11.8</v>
      </c>
      <c r="Q1199" s="11">
        <v>-20.100000000000001</v>
      </c>
      <c r="R1199" s="10">
        <v>-1.8</v>
      </c>
      <c r="S1199" s="12">
        <v>106</v>
      </c>
      <c r="T1199" s="8" t="s">
        <v>408</v>
      </c>
      <c r="U1199" s="11">
        <v>-45</v>
      </c>
      <c r="V1199" s="11">
        <v>-44</v>
      </c>
      <c r="W1199" s="11">
        <v>-42</v>
      </c>
      <c r="X1199" s="11">
        <v>-40</v>
      </c>
      <c r="Y1199" s="11">
        <v>-26</v>
      </c>
      <c r="Z1199" s="11">
        <v>-54</v>
      </c>
      <c r="AA1199" s="11">
        <v>12.3</v>
      </c>
      <c r="AB1199" s="11">
        <v>184</v>
      </c>
      <c r="AC1199" s="11">
        <v>-13.5</v>
      </c>
      <c r="AD1199" s="11">
        <v>247</v>
      </c>
      <c r="AE1199" s="11">
        <v>-9</v>
      </c>
      <c r="AF1199" s="11">
        <v>265</v>
      </c>
      <c r="AG1199" s="11">
        <v>-7.8</v>
      </c>
      <c r="AH1199" s="11">
        <v>80</v>
      </c>
      <c r="AI1199" s="11">
        <v>70</v>
      </c>
      <c r="AJ1199" s="11">
        <v>79</v>
      </c>
      <c r="AK1199" s="11" t="s">
        <v>27</v>
      </c>
      <c r="AL1199" s="11">
        <v>4.4000000000000004</v>
      </c>
      <c r="AM1199" s="10">
        <v>2</v>
      </c>
      <c r="AN1199" s="9">
        <v>106</v>
      </c>
      <c r="AO1199" s="8" t="s">
        <v>407</v>
      </c>
      <c r="AP1199" s="8">
        <v>955</v>
      </c>
      <c r="AQ1199" s="8">
        <v>21.6</v>
      </c>
      <c r="AR1199" s="8">
        <v>25.8</v>
      </c>
      <c r="AS1199" s="8">
        <v>24</v>
      </c>
      <c r="AT1199" s="8">
        <v>35</v>
      </c>
      <c r="AU1199" s="8">
        <v>13.8</v>
      </c>
      <c r="AV1199" s="8">
        <v>76</v>
      </c>
      <c r="AW1199" s="8">
        <v>58</v>
      </c>
      <c r="AX1199" s="8">
        <v>359</v>
      </c>
      <c r="AY1199" s="8">
        <v>101</v>
      </c>
      <c r="AZ1199" s="8" t="s">
        <v>54</v>
      </c>
      <c r="BA1199" s="7">
        <v>0</v>
      </c>
      <c r="BB1199" s="9">
        <v>90</v>
      </c>
      <c r="BC1199" s="8" t="s">
        <v>406</v>
      </c>
      <c r="BD1199" s="8">
        <v>1.1000000000000001</v>
      </c>
      <c r="BE1199" s="8">
        <v>1.2</v>
      </c>
      <c r="BF1199" s="8">
        <v>2</v>
      </c>
      <c r="BG1199" s="8">
        <v>3.6</v>
      </c>
      <c r="BH1199" s="8">
        <v>5.4</v>
      </c>
      <c r="BI1199" s="8">
        <v>10.1</v>
      </c>
      <c r="BJ1199" s="8">
        <v>14</v>
      </c>
      <c r="BK1199" s="8">
        <v>12.2</v>
      </c>
      <c r="BL1199" s="8">
        <v>7.6</v>
      </c>
      <c r="BM1199" s="8">
        <v>4.2</v>
      </c>
      <c r="BN1199" s="8">
        <v>2.2000000000000002</v>
      </c>
      <c r="BO1199" s="8">
        <v>1.4</v>
      </c>
      <c r="BP1199" s="7">
        <v>5.4</v>
      </c>
    </row>
    <row r="1200" spans="1:68" ht="14.25" customHeight="1">
      <c r="A1200" s="12">
        <v>543</v>
      </c>
      <c r="B1200" s="14">
        <v>387</v>
      </c>
      <c r="C1200" s="13" t="s">
        <v>30</v>
      </c>
      <c r="D1200" s="13" t="s">
        <v>162</v>
      </c>
      <c r="E1200" s="13" t="s">
        <v>403</v>
      </c>
      <c r="F1200" s="11">
        <v>-31</v>
      </c>
      <c r="G1200" s="11">
        <v>-26.5</v>
      </c>
      <c r="H1200" s="11">
        <v>-16</v>
      </c>
      <c r="I1200" s="11">
        <v>-3</v>
      </c>
      <c r="J1200" s="11">
        <v>6</v>
      </c>
      <c r="K1200" s="11">
        <v>13.1</v>
      </c>
      <c r="L1200" s="11">
        <v>15.8</v>
      </c>
      <c r="M1200" s="11">
        <v>12.8</v>
      </c>
      <c r="N1200" s="11">
        <v>5.5</v>
      </c>
      <c r="O1200" s="11">
        <v>-4.5</v>
      </c>
      <c r="P1200" s="11">
        <v>-19.2</v>
      </c>
      <c r="Q1200" s="11">
        <v>-29.3</v>
      </c>
      <c r="R1200" s="10">
        <v>-6.4</v>
      </c>
      <c r="S1200" s="12">
        <v>387</v>
      </c>
      <c r="T1200" s="8" t="s">
        <v>405</v>
      </c>
      <c r="U1200" s="11">
        <v>-48</v>
      </c>
      <c r="V1200" s="11">
        <v>-46</v>
      </c>
      <c r="W1200" s="11">
        <v>-47</v>
      </c>
      <c r="X1200" s="11">
        <v>-45</v>
      </c>
      <c r="Y1200" s="11">
        <v>-36</v>
      </c>
      <c r="Z1200" s="11">
        <v>-54</v>
      </c>
      <c r="AA1200" s="11">
        <v>18.7</v>
      </c>
      <c r="AB1200" s="11">
        <v>205</v>
      </c>
      <c r="AC1200" s="11">
        <v>-18.7</v>
      </c>
      <c r="AD1200" s="11">
        <v>262</v>
      </c>
      <c r="AE1200" s="11">
        <v>-13.8</v>
      </c>
      <c r="AF1200" s="11">
        <v>278</v>
      </c>
      <c r="AG1200" s="11">
        <v>-12.4</v>
      </c>
      <c r="AH1200" s="11">
        <v>76</v>
      </c>
      <c r="AI1200" s="11">
        <v>68</v>
      </c>
      <c r="AJ1200" s="11">
        <v>27</v>
      </c>
      <c r="AK1200" s="11" t="s">
        <v>39</v>
      </c>
      <c r="AL1200" s="11" t="s">
        <v>44</v>
      </c>
      <c r="AM1200" s="10">
        <v>1.5</v>
      </c>
      <c r="AN1200" s="9">
        <v>387</v>
      </c>
      <c r="AO1200" s="8" t="s">
        <v>404</v>
      </c>
      <c r="AP1200" s="8">
        <v>920</v>
      </c>
      <c r="AQ1200" s="8">
        <v>21.5</v>
      </c>
      <c r="AR1200" s="8">
        <v>25.7</v>
      </c>
      <c r="AS1200" s="8">
        <v>23.9</v>
      </c>
      <c r="AT1200" s="8">
        <v>35</v>
      </c>
      <c r="AU1200" s="8">
        <v>13.5</v>
      </c>
      <c r="AV1200" s="8">
        <v>76</v>
      </c>
      <c r="AW1200" s="8">
        <v>54</v>
      </c>
      <c r="AX1200" s="8">
        <v>354</v>
      </c>
      <c r="AY1200" s="8">
        <v>66</v>
      </c>
      <c r="AZ1200" s="8" t="s">
        <v>82</v>
      </c>
      <c r="BA1200" s="7" t="s">
        <v>46</v>
      </c>
      <c r="BB1200" s="9">
        <v>351</v>
      </c>
      <c r="BC1200" s="8" t="s">
        <v>403</v>
      </c>
      <c r="BD1200" s="8">
        <v>0.5</v>
      </c>
      <c r="BE1200" s="8">
        <v>0.7</v>
      </c>
      <c r="BF1200" s="8">
        <v>1.4</v>
      </c>
      <c r="BG1200" s="8">
        <v>2.8</v>
      </c>
      <c r="BH1200" s="8">
        <v>4.8</v>
      </c>
      <c r="BI1200" s="8">
        <v>9.4</v>
      </c>
      <c r="BJ1200" s="8">
        <v>13.3</v>
      </c>
      <c r="BK1200" s="8">
        <v>11.5</v>
      </c>
      <c r="BL1200" s="8">
        <v>6.3</v>
      </c>
      <c r="BM1200" s="8">
        <v>3.1</v>
      </c>
      <c r="BN1200" s="8">
        <v>1.2</v>
      </c>
      <c r="BO1200" s="8">
        <v>0.6</v>
      </c>
      <c r="BP1200" s="7">
        <v>4.5999999999999996</v>
      </c>
    </row>
    <row r="1201" spans="1:68" ht="14.25" customHeight="1">
      <c r="A1201" s="12">
        <v>544</v>
      </c>
      <c r="B1201" s="14">
        <v>440</v>
      </c>
      <c r="C1201" s="13" t="s">
        <v>30</v>
      </c>
      <c r="D1201" s="13" t="s">
        <v>57</v>
      </c>
      <c r="E1201" s="13" t="s">
        <v>402</v>
      </c>
      <c r="F1201" s="11">
        <v>-33.200000000000003</v>
      </c>
      <c r="G1201" s="11">
        <v>-29.3</v>
      </c>
      <c r="H1201" s="11">
        <v>-18.8</v>
      </c>
      <c r="I1201" s="11">
        <v>-6.4</v>
      </c>
      <c r="J1201" s="11">
        <v>4.3</v>
      </c>
      <c r="K1201" s="11">
        <v>13.3</v>
      </c>
      <c r="L1201" s="11">
        <v>16.5</v>
      </c>
      <c r="M1201" s="11">
        <v>13</v>
      </c>
      <c r="N1201" s="11">
        <v>5.4</v>
      </c>
      <c r="O1201" s="11">
        <v>-6.3</v>
      </c>
      <c r="P1201" s="11">
        <v>-23.6</v>
      </c>
      <c r="Q1201" s="11">
        <v>-31.2</v>
      </c>
      <c r="R1201" s="10">
        <v>-8</v>
      </c>
      <c r="S1201" s="12">
        <v>440</v>
      </c>
      <c r="T1201" s="8" t="s">
        <v>400</v>
      </c>
      <c r="U1201" s="11">
        <v>-58</v>
      </c>
      <c r="V1201" s="11">
        <v>-55</v>
      </c>
      <c r="W1201" s="11">
        <v>-54</v>
      </c>
      <c r="X1201" s="11">
        <v>-52</v>
      </c>
      <c r="Y1201" s="11">
        <v>-38</v>
      </c>
      <c r="Z1201" s="11">
        <v>-59</v>
      </c>
      <c r="AA1201" s="11">
        <v>10.4</v>
      </c>
      <c r="AB1201" s="11">
        <v>216</v>
      </c>
      <c r="AC1201" s="11">
        <v>-20.399999999999999</v>
      </c>
      <c r="AD1201" s="11">
        <v>266</v>
      </c>
      <c r="AE1201" s="11">
        <v>-15.8</v>
      </c>
      <c r="AF1201" s="11">
        <v>280</v>
      </c>
      <c r="AG1201" s="11">
        <v>-14.5</v>
      </c>
      <c r="AH1201" s="11">
        <v>76</v>
      </c>
      <c r="AI1201" s="11">
        <v>75</v>
      </c>
      <c r="AJ1201" s="11">
        <v>72</v>
      </c>
      <c r="AK1201" s="11" t="s">
        <v>39</v>
      </c>
      <c r="AL1201" s="11">
        <v>3</v>
      </c>
      <c r="AM1201" s="10">
        <v>1.9</v>
      </c>
      <c r="AN1201" s="9">
        <v>440</v>
      </c>
      <c r="AO1201" s="8" t="s">
        <v>401</v>
      </c>
      <c r="AP1201" s="8">
        <v>980</v>
      </c>
      <c r="AQ1201" s="8">
        <v>21.1</v>
      </c>
      <c r="AR1201" s="8">
        <v>25.3</v>
      </c>
      <c r="AS1201" s="8">
        <v>23.5</v>
      </c>
      <c r="AT1201" s="8">
        <v>36</v>
      </c>
      <c r="AU1201" s="8">
        <v>14.6</v>
      </c>
      <c r="AV1201" s="8">
        <v>68</v>
      </c>
      <c r="AW1201" s="8">
        <v>50</v>
      </c>
      <c r="AX1201" s="8">
        <v>260</v>
      </c>
      <c r="AY1201" s="8">
        <v>56</v>
      </c>
      <c r="AZ1201" s="8" t="s">
        <v>32</v>
      </c>
      <c r="BA1201" s="7">
        <v>0</v>
      </c>
      <c r="BB1201" s="9"/>
      <c r="BC1201" s="8" t="s">
        <v>400</v>
      </c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7"/>
    </row>
    <row r="1202" spans="1:68" ht="14.25" customHeight="1">
      <c r="A1202" s="12">
        <v>545</v>
      </c>
      <c r="B1202" s="14">
        <v>388</v>
      </c>
      <c r="C1202" s="13" t="s">
        <v>30</v>
      </c>
      <c r="D1202" s="13" t="s">
        <v>162</v>
      </c>
      <c r="E1202" s="13" t="s">
        <v>397</v>
      </c>
      <c r="F1202" s="11">
        <v>-32.700000000000003</v>
      </c>
      <c r="G1202" s="11">
        <v>-27.8</v>
      </c>
      <c r="H1202" s="11">
        <v>-16.8</v>
      </c>
      <c r="I1202" s="11">
        <v>-3.6</v>
      </c>
      <c r="J1202" s="11">
        <v>6</v>
      </c>
      <c r="K1202" s="11">
        <v>13.4</v>
      </c>
      <c r="L1202" s="11">
        <v>16.3</v>
      </c>
      <c r="M1202" s="11">
        <v>13.1</v>
      </c>
      <c r="N1202" s="11">
        <v>5.9</v>
      </c>
      <c r="O1202" s="11">
        <v>-5.0999999999999996</v>
      </c>
      <c r="P1202" s="11">
        <v>-20.5</v>
      </c>
      <c r="Q1202" s="11">
        <v>-30.8</v>
      </c>
      <c r="R1202" s="10">
        <v>-6.9</v>
      </c>
      <c r="S1202" s="12">
        <v>388</v>
      </c>
      <c r="T1202" s="8" t="s">
        <v>399</v>
      </c>
      <c r="U1202" s="11">
        <v>-50</v>
      </c>
      <c r="V1202" s="11">
        <v>-46</v>
      </c>
      <c r="W1202" s="11">
        <v>-46</v>
      </c>
      <c r="X1202" s="11">
        <v>-44</v>
      </c>
      <c r="Y1202" s="11">
        <v>-38</v>
      </c>
      <c r="Z1202" s="11">
        <v>-56</v>
      </c>
      <c r="AA1202" s="11">
        <v>15.4</v>
      </c>
      <c r="AB1202" s="11">
        <v>207</v>
      </c>
      <c r="AC1202" s="11">
        <v>-19.7</v>
      </c>
      <c r="AD1202" s="11">
        <v>260</v>
      </c>
      <c r="AE1202" s="11">
        <v>-14.8</v>
      </c>
      <c r="AF1202" s="11">
        <v>276</v>
      </c>
      <c r="AG1202" s="11">
        <v>-13.4</v>
      </c>
      <c r="AH1202" s="11">
        <v>76</v>
      </c>
      <c r="AI1202" s="11">
        <v>70</v>
      </c>
      <c r="AJ1202" s="11">
        <v>45</v>
      </c>
      <c r="AK1202" s="11" t="s">
        <v>34</v>
      </c>
      <c r="AL1202" s="11" t="s">
        <v>44</v>
      </c>
      <c r="AM1202" s="10">
        <v>1.5</v>
      </c>
      <c r="AN1202" s="9">
        <v>388</v>
      </c>
      <c r="AO1202" s="8" t="s">
        <v>398</v>
      </c>
      <c r="AP1202" s="8">
        <v>935</v>
      </c>
      <c r="AQ1202" s="8">
        <v>22</v>
      </c>
      <c r="AR1202" s="8">
        <v>26.2</v>
      </c>
      <c r="AS1202" s="8">
        <v>24.4</v>
      </c>
      <c r="AT1202" s="8">
        <v>36</v>
      </c>
      <c r="AU1202" s="8">
        <v>15.6</v>
      </c>
      <c r="AV1202" s="8">
        <v>76</v>
      </c>
      <c r="AW1202" s="8">
        <v>55</v>
      </c>
      <c r="AX1202" s="8">
        <v>460</v>
      </c>
      <c r="AY1202" s="8" t="s">
        <v>64</v>
      </c>
      <c r="AZ1202" s="8" t="s">
        <v>151</v>
      </c>
      <c r="BA1202" s="7" t="s">
        <v>46</v>
      </c>
      <c r="BB1202" s="9">
        <v>352</v>
      </c>
      <c r="BC1202" s="8" t="s">
        <v>397</v>
      </c>
      <c r="BD1202" s="8">
        <v>0.4</v>
      </c>
      <c r="BE1202" s="8">
        <v>0.6</v>
      </c>
      <c r="BF1202" s="8">
        <v>1.3</v>
      </c>
      <c r="BG1202" s="8">
        <v>2.8</v>
      </c>
      <c r="BH1202" s="8">
        <v>5.2</v>
      </c>
      <c r="BI1202" s="8">
        <v>10.199999999999999</v>
      </c>
      <c r="BJ1202" s="8">
        <v>13.8</v>
      </c>
      <c r="BK1202" s="8">
        <v>12</v>
      </c>
      <c r="BL1202" s="8">
        <v>6.8</v>
      </c>
      <c r="BM1202" s="8">
        <v>3</v>
      </c>
      <c r="BN1202" s="8">
        <v>1.1000000000000001</v>
      </c>
      <c r="BO1202" s="8">
        <v>0.5</v>
      </c>
      <c r="BP1202" s="7">
        <v>4.8</v>
      </c>
    </row>
    <row r="1203" spans="1:68" ht="14.25" customHeight="1">
      <c r="A1203" s="12">
        <v>546</v>
      </c>
      <c r="B1203" s="14">
        <v>190</v>
      </c>
      <c r="C1203" s="13" t="s">
        <v>30</v>
      </c>
      <c r="D1203" s="13" t="s">
        <v>29</v>
      </c>
      <c r="E1203" s="13" t="s">
        <v>394</v>
      </c>
      <c r="F1203" s="11">
        <v>-36.5</v>
      </c>
      <c r="G1203" s="11">
        <v>-32.4</v>
      </c>
      <c r="H1203" s="11">
        <v>-19.5</v>
      </c>
      <c r="I1203" s="11">
        <v>-7</v>
      </c>
      <c r="J1203" s="11">
        <v>3</v>
      </c>
      <c r="K1203" s="11">
        <v>12.4</v>
      </c>
      <c r="L1203" s="11">
        <v>16.3</v>
      </c>
      <c r="M1203" s="11">
        <v>12.3</v>
      </c>
      <c r="N1203" s="11">
        <v>5</v>
      </c>
      <c r="O1203" s="11">
        <v>-6.8</v>
      </c>
      <c r="P1203" s="11">
        <v>-25.8</v>
      </c>
      <c r="Q1203" s="11">
        <v>-33.5</v>
      </c>
      <c r="R1203" s="10">
        <v>-9.4</v>
      </c>
      <c r="S1203" s="12">
        <v>190</v>
      </c>
      <c r="T1203" s="8" t="s">
        <v>396</v>
      </c>
      <c r="U1203" s="11">
        <v>-59</v>
      </c>
      <c r="V1203" s="11">
        <v>-57</v>
      </c>
      <c r="W1203" s="11">
        <v>-57</v>
      </c>
      <c r="X1203" s="11">
        <v>-55</v>
      </c>
      <c r="Y1203" s="11">
        <v>-42</v>
      </c>
      <c r="Z1203" s="11">
        <v>-60</v>
      </c>
      <c r="AA1203" s="11">
        <v>12.7</v>
      </c>
      <c r="AB1203" s="11">
        <v>220</v>
      </c>
      <c r="AC1203" s="11">
        <v>-21.8</v>
      </c>
      <c r="AD1203" s="11">
        <v>271</v>
      </c>
      <c r="AE1203" s="11">
        <v>-16.899999999999999</v>
      </c>
      <c r="AF1203" s="11">
        <v>286</v>
      </c>
      <c r="AG1203" s="11">
        <v>-15.6</v>
      </c>
      <c r="AH1203" s="11">
        <v>77</v>
      </c>
      <c r="AI1203" s="11">
        <v>76</v>
      </c>
      <c r="AJ1203" s="11">
        <v>76</v>
      </c>
      <c r="AK1203" s="11" t="s">
        <v>75</v>
      </c>
      <c r="AL1203" s="11">
        <v>2.7</v>
      </c>
      <c r="AM1203" s="10">
        <v>2</v>
      </c>
      <c r="AN1203" s="9">
        <v>190</v>
      </c>
      <c r="AO1203" s="8" t="s">
        <v>395</v>
      </c>
      <c r="AP1203" s="8">
        <v>990</v>
      </c>
      <c r="AQ1203" s="8">
        <v>20.2</v>
      </c>
      <c r="AR1203" s="8">
        <v>25</v>
      </c>
      <c r="AS1203" s="8">
        <v>23.5</v>
      </c>
      <c r="AT1203" s="8">
        <v>38</v>
      </c>
      <c r="AU1203" s="8">
        <v>13.8</v>
      </c>
      <c r="AV1203" s="8">
        <v>68</v>
      </c>
      <c r="AW1203" s="8">
        <v>48</v>
      </c>
      <c r="AX1203" s="8">
        <v>292</v>
      </c>
      <c r="AY1203" s="8">
        <v>50</v>
      </c>
      <c r="AZ1203" s="8" t="s">
        <v>63</v>
      </c>
      <c r="BA1203" s="7">
        <v>0</v>
      </c>
      <c r="BB1203" s="9">
        <v>168</v>
      </c>
      <c r="BC1203" s="8" t="s">
        <v>394</v>
      </c>
      <c r="BD1203" s="8">
        <v>0.3</v>
      </c>
      <c r="BE1203" s="8">
        <v>0.5</v>
      </c>
      <c r="BF1203" s="8">
        <v>1.2</v>
      </c>
      <c r="BG1203" s="8">
        <v>2.6</v>
      </c>
      <c r="BH1203" s="8">
        <v>4.5999999999999996</v>
      </c>
      <c r="BI1203" s="8">
        <v>8.6999999999999993</v>
      </c>
      <c r="BJ1203" s="8">
        <v>12.3</v>
      </c>
      <c r="BK1203" s="8">
        <v>10.7</v>
      </c>
      <c r="BL1203" s="8">
        <v>6.8</v>
      </c>
      <c r="BM1203" s="8">
        <v>3.3</v>
      </c>
      <c r="BN1203" s="8">
        <v>0.9</v>
      </c>
      <c r="BO1203" s="8">
        <v>0.5</v>
      </c>
      <c r="BP1203" s="7">
        <v>4.4000000000000004</v>
      </c>
    </row>
    <row r="1204" spans="1:68" ht="14.25" customHeight="1">
      <c r="A1204" s="12">
        <v>547</v>
      </c>
      <c r="B1204" s="14">
        <v>536</v>
      </c>
      <c r="C1204" s="13" t="s">
        <v>121</v>
      </c>
      <c r="D1204" s="13" t="s">
        <v>393</v>
      </c>
      <c r="E1204" s="13" t="s">
        <v>391</v>
      </c>
      <c r="F1204" s="11">
        <v>-16.2</v>
      </c>
      <c r="G1204" s="11">
        <v>-15.9</v>
      </c>
      <c r="H1204" s="11">
        <v>-8.1</v>
      </c>
      <c r="I1204" s="11">
        <v>6.4</v>
      </c>
      <c r="J1204" s="11">
        <v>16</v>
      </c>
      <c r="K1204" s="11">
        <v>22</v>
      </c>
      <c r="L1204" s="11">
        <v>24.4</v>
      </c>
      <c r="M1204" s="11">
        <v>21.7</v>
      </c>
      <c r="N1204" s="11">
        <v>15</v>
      </c>
      <c r="O1204" s="11">
        <v>5.2</v>
      </c>
      <c r="P1204" s="11">
        <v>-4.0999999999999996</v>
      </c>
      <c r="Q1204" s="11">
        <v>-12.2</v>
      </c>
      <c r="R1204" s="10">
        <v>4.5</v>
      </c>
      <c r="S1204" s="12">
        <v>536</v>
      </c>
      <c r="T1204" s="8" t="s">
        <v>391</v>
      </c>
      <c r="U1204" s="11">
        <v>-37</v>
      </c>
      <c r="V1204" s="11">
        <v>-34</v>
      </c>
      <c r="W1204" s="11">
        <v>-33</v>
      </c>
      <c r="X1204" s="11">
        <v>-31</v>
      </c>
      <c r="Y1204" s="11">
        <v>-23</v>
      </c>
      <c r="Z1204" s="11" t="s">
        <v>44</v>
      </c>
      <c r="AA1204" s="11">
        <v>9.4</v>
      </c>
      <c r="AB1204" s="11">
        <v>152</v>
      </c>
      <c r="AC1204" s="11">
        <v>-11.2</v>
      </c>
      <c r="AD1204" s="11">
        <v>194</v>
      </c>
      <c r="AE1204" s="11">
        <v>-7.8</v>
      </c>
      <c r="AF1204" s="11">
        <v>207</v>
      </c>
      <c r="AG1204" s="11">
        <v>-6.9</v>
      </c>
      <c r="AH1204" s="11">
        <v>80</v>
      </c>
      <c r="AI1204" s="11">
        <v>78</v>
      </c>
      <c r="AJ1204" s="11">
        <v>88</v>
      </c>
      <c r="AK1204" s="11" t="s">
        <v>199</v>
      </c>
      <c r="AL1204" s="11">
        <v>6.3</v>
      </c>
      <c r="AM1204" s="10">
        <v>4.9000000000000004</v>
      </c>
      <c r="AN1204" s="9">
        <v>536</v>
      </c>
      <c r="AO1204" s="8" t="s">
        <v>392</v>
      </c>
      <c r="AP1204" s="8">
        <v>1005</v>
      </c>
      <c r="AQ1204" s="8">
        <v>29.7</v>
      </c>
      <c r="AR1204" s="8">
        <v>33.5</v>
      </c>
      <c r="AS1204" s="8">
        <v>31</v>
      </c>
      <c r="AT1204" s="8">
        <v>43</v>
      </c>
      <c r="AU1204" s="8">
        <v>13.6</v>
      </c>
      <c r="AV1204" s="8">
        <v>44</v>
      </c>
      <c r="AW1204" s="8">
        <v>30</v>
      </c>
      <c r="AX1204" s="8">
        <v>134</v>
      </c>
      <c r="AY1204" s="8" t="s">
        <v>64</v>
      </c>
      <c r="AZ1204" s="8" t="s">
        <v>37</v>
      </c>
      <c r="BA1204" s="7">
        <v>4.9000000000000004</v>
      </c>
      <c r="BB1204" s="9"/>
      <c r="BC1204" s="8" t="s">
        <v>391</v>
      </c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7"/>
    </row>
    <row r="1205" spans="1:68" ht="14.25" customHeight="1">
      <c r="A1205" s="12">
        <v>548</v>
      </c>
      <c r="B1205" s="14">
        <v>282</v>
      </c>
      <c r="C1205" s="13" t="s">
        <v>30</v>
      </c>
      <c r="D1205" s="13" t="s">
        <v>131</v>
      </c>
      <c r="E1205" s="13" t="s">
        <v>388</v>
      </c>
      <c r="F1205" s="11">
        <v>-18</v>
      </c>
      <c r="G1205" s="11">
        <v>-16.2</v>
      </c>
      <c r="H1205" s="11">
        <v>-8.3000000000000007</v>
      </c>
      <c r="I1205" s="11">
        <v>3</v>
      </c>
      <c r="J1205" s="11">
        <v>10.8</v>
      </c>
      <c r="K1205" s="11">
        <v>15.7</v>
      </c>
      <c r="L1205" s="11">
        <v>17.8</v>
      </c>
      <c r="M1205" s="11">
        <v>15</v>
      </c>
      <c r="N1205" s="11">
        <v>9.5</v>
      </c>
      <c r="O1205" s="11">
        <v>0.9</v>
      </c>
      <c r="P1205" s="11">
        <v>-7.7</v>
      </c>
      <c r="Q1205" s="11">
        <v>-14.8</v>
      </c>
      <c r="R1205" s="10">
        <v>0.6</v>
      </c>
      <c r="S1205" s="12">
        <v>282</v>
      </c>
      <c r="T1205" s="8" t="s">
        <v>390</v>
      </c>
      <c r="U1205" s="11">
        <v>-44</v>
      </c>
      <c r="V1205" s="11">
        <v>-42</v>
      </c>
      <c r="W1205" s="11">
        <v>-40</v>
      </c>
      <c r="X1205" s="11">
        <v>-35</v>
      </c>
      <c r="Y1205" s="11">
        <v>-21</v>
      </c>
      <c r="Z1205" s="11">
        <v>-51</v>
      </c>
      <c r="AA1205" s="11">
        <v>9.9</v>
      </c>
      <c r="AB1205" s="11">
        <v>169</v>
      </c>
      <c r="AC1205" s="11">
        <v>-11.7</v>
      </c>
      <c r="AD1205" s="11">
        <v>226</v>
      </c>
      <c r="AE1205" s="11">
        <v>-7.7</v>
      </c>
      <c r="AF1205" s="11">
        <v>245</v>
      </c>
      <c r="AG1205" s="11">
        <v>-6.4</v>
      </c>
      <c r="AH1205" s="11">
        <v>80</v>
      </c>
      <c r="AI1205" s="11">
        <v>77</v>
      </c>
      <c r="AJ1205" s="11">
        <v>106</v>
      </c>
      <c r="AK1205" s="11" t="s">
        <v>39</v>
      </c>
      <c r="AL1205" s="11" t="s">
        <v>44</v>
      </c>
      <c r="AM1205" s="10">
        <v>3.5</v>
      </c>
      <c r="AN1205" s="9">
        <v>300</v>
      </c>
      <c r="AO1205" s="8" t="s">
        <v>389</v>
      </c>
      <c r="AP1205" s="8">
        <v>995</v>
      </c>
      <c r="AQ1205" s="8">
        <v>21</v>
      </c>
      <c r="AR1205" s="8">
        <v>27</v>
      </c>
      <c r="AS1205" s="8">
        <v>23.6</v>
      </c>
      <c r="AT1205" s="8">
        <v>38</v>
      </c>
      <c r="AU1205" s="8">
        <v>11.5</v>
      </c>
      <c r="AV1205" s="8">
        <v>73</v>
      </c>
      <c r="AW1205" s="8">
        <v>58</v>
      </c>
      <c r="AX1205" s="8">
        <v>343</v>
      </c>
      <c r="AY1205" s="8">
        <v>51</v>
      </c>
      <c r="AZ1205" s="8" t="s">
        <v>54</v>
      </c>
      <c r="BA1205" s="7" t="s">
        <v>46</v>
      </c>
      <c r="BB1205" s="9">
        <v>271</v>
      </c>
      <c r="BC1205" s="8" t="s">
        <v>388</v>
      </c>
      <c r="BD1205" s="8">
        <v>1.6</v>
      </c>
      <c r="BE1205" s="8">
        <v>1.6</v>
      </c>
      <c r="BF1205" s="8">
        <v>2.7</v>
      </c>
      <c r="BG1205" s="8">
        <v>5.3</v>
      </c>
      <c r="BH1205" s="8">
        <v>7.6</v>
      </c>
      <c r="BI1205" s="8">
        <v>11.6</v>
      </c>
      <c r="BJ1205" s="8">
        <v>14.8</v>
      </c>
      <c r="BK1205" s="8">
        <v>13.2</v>
      </c>
      <c r="BL1205" s="8">
        <v>9.3000000000000007</v>
      </c>
      <c r="BM1205" s="8">
        <v>5.4</v>
      </c>
      <c r="BN1205" s="8">
        <v>3.2</v>
      </c>
      <c r="BO1205" s="8">
        <v>2</v>
      </c>
      <c r="BP1205" s="7">
        <v>6.5</v>
      </c>
    </row>
    <row r="1206" spans="1:68" ht="14.25" customHeight="1">
      <c r="A1206" s="12">
        <v>549</v>
      </c>
      <c r="B1206" s="14">
        <v>537</v>
      </c>
      <c r="C1206" s="13" t="s">
        <v>121</v>
      </c>
      <c r="D1206" s="13" t="s">
        <v>165</v>
      </c>
      <c r="E1206" s="13" t="s">
        <v>386</v>
      </c>
      <c r="F1206" s="11">
        <v>-5.4</v>
      </c>
      <c r="G1206" s="11">
        <v>-2.2000000000000002</v>
      </c>
      <c r="H1206" s="11">
        <v>5.4</v>
      </c>
      <c r="I1206" s="11">
        <v>14.1</v>
      </c>
      <c r="J1206" s="11">
        <v>20.6</v>
      </c>
      <c r="K1206" s="11">
        <v>25.9</v>
      </c>
      <c r="L1206" s="11">
        <v>28.4</v>
      </c>
      <c r="M1206" s="11">
        <v>26.3</v>
      </c>
      <c r="N1206" s="11">
        <v>19.8</v>
      </c>
      <c r="O1206" s="11">
        <v>11</v>
      </c>
      <c r="P1206" s="11">
        <v>3.1</v>
      </c>
      <c r="Q1206" s="11">
        <v>-2.2999999999999998</v>
      </c>
      <c r="R1206" s="10">
        <v>12.1</v>
      </c>
      <c r="S1206" s="12">
        <v>537</v>
      </c>
      <c r="T1206" s="8" t="s">
        <v>386</v>
      </c>
      <c r="U1206" s="11">
        <v>-29</v>
      </c>
      <c r="V1206" s="11">
        <v>-26</v>
      </c>
      <c r="W1206" s="11">
        <v>-24</v>
      </c>
      <c r="X1206" s="11">
        <v>-21</v>
      </c>
      <c r="Y1206" s="11">
        <v>-10</v>
      </c>
      <c r="Z1206" s="11" t="s">
        <v>44</v>
      </c>
      <c r="AA1206" s="11">
        <v>10.1</v>
      </c>
      <c r="AB1206" s="11">
        <v>86</v>
      </c>
      <c r="AC1206" s="11">
        <v>-3.6</v>
      </c>
      <c r="AD1206" s="11">
        <v>151</v>
      </c>
      <c r="AE1206" s="11">
        <v>-0.3</v>
      </c>
      <c r="AF1206" s="11">
        <v>165</v>
      </c>
      <c r="AG1206" s="11">
        <v>0.5</v>
      </c>
      <c r="AH1206" s="11" t="s">
        <v>49</v>
      </c>
      <c r="AI1206" s="11">
        <v>74</v>
      </c>
      <c r="AJ1206" s="11">
        <v>134</v>
      </c>
      <c r="AK1206" s="11" t="s">
        <v>66</v>
      </c>
      <c r="AL1206" s="11">
        <v>2.6</v>
      </c>
      <c r="AM1206" s="10">
        <v>2.5</v>
      </c>
      <c r="AN1206" s="9">
        <v>537</v>
      </c>
      <c r="AO1206" s="8" t="s">
        <v>387</v>
      </c>
      <c r="AP1206" s="8" t="s">
        <v>64</v>
      </c>
      <c r="AQ1206" s="8">
        <v>33.6</v>
      </c>
      <c r="AR1206" s="8">
        <v>37.1</v>
      </c>
      <c r="AS1206" s="8">
        <v>36.4</v>
      </c>
      <c r="AT1206" s="8">
        <v>49</v>
      </c>
      <c r="AU1206" s="8">
        <v>17.7</v>
      </c>
      <c r="AV1206" s="8" t="s">
        <v>45</v>
      </c>
      <c r="AW1206" s="8">
        <v>17</v>
      </c>
      <c r="AX1206" s="8">
        <v>72</v>
      </c>
      <c r="AY1206" s="8" t="s">
        <v>64</v>
      </c>
      <c r="AZ1206" s="8" t="s">
        <v>37</v>
      </c>
      <c r="BA1206" s="7">
        <v>3.2</v>
      </c>
      <c r="BB1206" s="9"/>
      <c r="BC1206" s="8" t="s">
        <v>386</v>
      </c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7"/>
    </row>
    <row r="1207" spans="1:68" ht="14.25" customHeight="1">
      <c r="A1207" s="12">
        <v>550</v>
      </c>
      <c r="B1207" s="14">
        <v>559</v>
      </c>
      <c r="C1207" s="17" t="s">
        <v>208</v>
      </c>
      <c r="D1207" s="17" t="s">
        <v>217</v>
      </c>
      <c r="E1207" s="13" t="s">
        <v>384</v>
      </c>
      <c r="F1207" s="11"/>
      <c r="G1207" s="11"/>
      <c r="H1207" s="11"/>
      <c r="I1207" s="11"/>
      <c r="J1207" s="11"/>
      <c r="K1207" s="11"/>
      <c r="L1207" s="11"/>
      <c r="M1207" s="11"/>
      <c r="N1207" s="11"/>
      <c r="O1207" s="11"/>
      <c r="P1207" s="11"/>
      <c r="Q1207" s="11"/>
      <c r="R1207" s="10"/>
      <c r="S1207" s="16">
        <v>559</v>
      </c>
      <c r="T1207" s="8" t="s">
        <v>384</v>
      </c>
      <c r="U1207" s="11">
        <v>-18</v>
      </c>
      <c r="V1207" s="11">
        <v>-14</v>
      </c>
      <c r="W1207" s="11">
        <v>-13</v>
      </c>
      <c r="X1207" s="11">
        <v>-11</v>
      </c>
      <c r="Y1207" s="11">
        <v>-3</v>
      </c>
      <c r="Z1207" s="11">
        <v>-22</v>
      </c>
      <c r="AA1207" s="11">
        <v>8.1</v>
      </c>
      <c r="AB1207" s="11">
        <v>0</v>
      </c>
      <c r="AC1207" s="11" t="s">
        <v>50</v>
      </c>
      <c r="AD1207" s="11">
        <v>124</v>
      </c>
      <c r="AE1207" s="11">
        <v>4.0999999999999996</v>
      </c>
      <c r="AF1207" s="11">
        <v>144</v>
      </c>
      <c r="AG1207" s="11">
        <v>4.5999999999999996</v>
      </c>
      <c r="AH1207" s="11" t="s">
        <v>49</v>
      </c>
      <c r="AI1207" s="11">
        <v>61</v>
      </c>
      <c r="AJ1207" s="11">
        <v>82</v>
      </c>
      <c r="AK1207" s="11" t="s">
        <v>27</v>
      </c>
      <c r="AL1207" s="11">
        <v>6.5</v>
      </c>
      <c r="AM1207" s="10" t="s">
        <v>44</v>
      </c>
      <c r="AN1207" s="9">
        <v>560</v>
      </c>
      <c r="AO1207" s="8" t="s">
        <v>385</v>
      </c>
      <c r="AP1207" s="8">
        <v>1005</v>
      </c>
      <c r="AQ1207" s="8">
        <v>37</v>
      </c>
      <c r="AR1207" s="8">
        <v>30</v>
      </c>
      <c r="AS1207" s="8">
        <v>34.9</v>
      </c>
      <c r="AT1207" s="8">
        <v>45</v>
      </c>
      <c r="AU1207" s="8">
        <v>12.7</v>
      </c>
      <c r="AV1207" s="8">
        <v>45</v>
      </c>
      <c r="AW1207" s="8">
        <v>31</v>
      </c>
      <c r="AX1207" s="8">
        <v>62</v>
      </c>
      <c r="AY1207" s="8">
        <v>68</v>
      </c>
      <c r="AZ1207" s="8" t="s">
        <v>54</v>
      </c>
      <c r="BA1207" s="7">
        <v>2.6</v>
      </c>
      <c r="BB1207" s="9"/>
      <c r="BC1207" s="8" t="s">
        <v>384</v>
      </c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7"/>
    </row>
    <row r="1208" spans="1:68" ht="14.25" customHeight="1">
      <c r="A1208" s="12">
        <v>551</v>
      </c>
      <c r="B1208" s="14">
        <v>191</v>
      </c>
      <c r="C1208" s="13" t="s">
        <v>30</v>
      </c>
      <c r="D1208" s="13" t="s">
        <v>29</v>
      </c>
      <c r="E1208" s="13" t="s">
        <v>381</v>
      </c>
      <c r="F1208" s="11">
        <v>-27.2</v>
      </c>
      <c r="G1208" s="11">
        <v>-23.8</v>
      </c>
      <c r="H1208" s="11">
        <v>-16.899999999999999</v>
      </c>
      <c r="I1208" s="11">
        <v>-8.6</v>
      </c>
      <c r="J1208" s="11">
        <v>-0.3</v>
      </c>
      <c r="K1208" s="11">
        <v>9.5</v>
      </c>
      <c r="L1208" s="11">
        <v>16</v>
      </c>
      <c r="M1208" s="11">
        <v>12.5</v>
      </c>
      <c r="N1208" s="11">
        <v>5.6</v>
      </c>
      <c r="O1208" s="11">
        <v>-5.7</v>
      </c>
      <c r="P1208" s="11">
        <v>-19.8</v>
      </c>
      <c r="Q1208" s="11">
        <v>-26</v>
      </c>
      <c r="R1208" s="10">
        <v>-7.1</v>
      </c>
      <c r="S1208" s="12">
        <v>191</v>
      </c>
      <c r="T1208" s="8" t="s">
        <v>383</v>
      </c>
      <c r="U1208" s="11">
        <v>-59</v>
      </c>
      <c r="V1208" s="11">
        <v>-56</v>
      </c>
      <c r="W1208" s="11">
        <v>-54</v>
      </c>
      <c r="X1208" s="11">
        <v>-50</v>
      </c>
      <c r="Y1208" s="11">
        <v>-32</v>
      </c>
      <c r="Z1208" s="11">
        <v>-61</v>
      </c>
      <c r="AA1208" s="11">
        <v>9</v>
      </c>
      <c r="AB1208" s="11">
        <v>228</v>
      </c>
      <c r="AC1208" s="11">
        <v>-16.600000000000001</v>
      </c>
      <c r="AD1208" s="11">
        <v>279</v>
      </c>
      <c r="AE1208" s="11">
        <v>-12.9</v>
      </c>
      <c r="AF1208" s="11">
        <v>295</v>
      </c>
      <c r="AG1208" s="11">
        <v>-11.7</v>
      </c>
      <c r="AH1208" s="11">
        <v>78</v>
      </c>
      <c r="AI1208" s="11">
        <v>74</v>
      </c>
      <c r="AJ1208" s="11">
        <v>149</v>
      </c>
      <c r="AK1208" s="11" t="s">
        <v>66</v>
      </c>
      <c r="AL1208" s="11">
        <v>5.7</v>
      </c>
      <c r="AM1208" s="10">
        <v>3.9</v>
      </c>
      <c r="AN1208" s="9">
        <v>191</v>
      </c>
      <c r="AO1208" s="8" t="s">
        <v>382</v>
      </c>
      <c r="AP1208" s="8">
        <v>1005</v>
      </c>
      <c r="AQ1208" s="8">
        <v>18.3</v>
      </c>
      <c r="AR1208" s="8">
        <v>23.5</v>
      </c>
      <c r="AS1208" s="8">
        <v>21.4</v>
      </c>
      <c r="AT1208" s="8">
        <v>36</v>
      </c>
      <c r="AU1208" s="8">
        <v>10.5</v>
      </c>
      <c r="AV1208" s="8">
        <v>69</v>
      </c>
      <c r="AW1208" s="8">
        <v>57</v>
      </c>
      <c r="AX1208" s="8">
        <v>376</v>
      </c>
      <c r="AY1208" s="8">
        <v>61</v>
      </c>
      <c r="AZ1208" s="8" t="s">
        <v>54</v>
      </c>
      <c r="BA1208" s="7">
        <v>4</v>
      </c>
      <c r="BB1208" s="9">
        <v>169</v>
      </c>
      <c r="BC1208" s="8" t="s">
        <v>381</v>
      </c>
      <c r="BD1208" s="8">
        <v>0.8</v>
      </c>
      <c r="BE1208" s="8">
        <v>0.9</v>
      </c>
      <c r="BF1208" s="8">
        <v>1.6</v>
      </c>
      <c r="BG1208" s="8">
        <v>2.7</v>
      </c>
      <c r="BH1208" s="8">
        <v>4.3</v>
      </c>
      <c r="BI1208" s="8">
        <v>8.1999999999999993</v>
      </c>
      <c r="BJ1208" s="8">
        <v>12.7</v>
      </c>
      <c r="BK1208" s="8">
        <v>11.2</v>
      </c>
      <c r="BL1208" s="8">
        <v>7.7</v>
      </c>
      <c r="BM1208" s="8">
        <v>3.9</v>
      </c>
      <c r="BN1208" s="8">
        <v>1.5</v>
      </c>
      <c r="BO1208" s="8">
        <v>1</v>
      </c>
      <c r="BP1208" s="7">
        <v>4.7</v>
      </c>
    </row>
    <row r="1209" spans="1:68" ht="14.25" customHeight="1">
      <c r="A1209" s="12">
        <v>552</v>
      </c>
      <c r="B1209" s="14">
        <v>31</v>
      </c>
      <c r="C1209" s="13" t="s">
        <v>30</v>
      </c>
      <c r="D1209" s="13" t="s">
        <v>99</v>
      </c>
      <c r="E1209" s="13" t="s">
        <v>378</v>
      </c>
      <c r="F1209" s="11">
        <v>-26.4</v>
      </c>
      <c r="G1209" s="11">
        <v>-21.6</v>
      </c>
      <c r="H1209" s="11">
        <v>-13.4</v>
      </c>
      <c r="I1209" s="11">
        <v>-1.5</v>
      </c>
      <c r="J1209" s="11">
        <v>7.5</v>
      </c>
      <c r="K1209" s="11">
        <v>14.6</v>
      </c>
      <c r="L1209" s="11">
        <v>18.100000000000001</v>
      </c>
      <c r="M1209" s="11">
        <v>15.1</v>
      </c>
      <c r="N1209" s="11">
        <v>7.9</v>
      </c>
      <c r="O1209" s="11">
        <v>-3.4</v>
      </c>
      <c r="P1209" s="11">
        <v>-17.2</v>
      </c>
      <c r="Q1209" s="11">
        <v>-25.2</v>
      </c>
      <c r="R1209" s="10">
        <v>-3.8</v>
      </c>
      <c r="S1209" s="12">
        <v>31</v>
      </c>
      <c r="T1209" s="8" t="s">
        <v>380</v>
      </c>
      <c r="U1209" s="11">
        <v>-43</v>
      </c>
      <c r="V1209" s="11">
        <v>-41</v>
      </c>
      <c r="W1209" s="11">
        <v>-38</v>
      </c>
      <c r="X1209" s="11">
        <v>-37</v>
      </c>
      <c r="Y1209" s="11">
        <v>-31</v>
      </c>
      <c r="Z1209" s="11">
        <v>-50</v>
      </c>
      <c r="AA1209" s="11">
        <v>12.8</v>
      </c>
      <c r="AB1209" s="11">
        <v>196</v>
      </c>
      <c r="AC1209" s="11">
        <v>-16.5</v>
      </c>
      <c r="AD1209" s="11">
        <v>245</v>
      </c>
      <c r="AE1209" s="11">
        <v>-12.4</v>
      </c>
      <c r="AF1209" s="11">
        <v>262</v>
      </c>
      <c r="AG1209" s="11">
        <v>-11</v>
      </c>
      <c r="AH1209" s="11">
        <v>69</v>
      </c>
      <c r="AI1209" s="11">
        <v>61</v>
      </c>
      <c r="AJ1209" s="11">
        <v>52</v>
      </c>
      <c r="AK1209" s="11" t="s">
        <v>75</v>
      </c>
      <c r="AL1209" s="11">
        <v>5.2</v>
      </c>
      <c r="AM1209" s="10">
        <v>2.6</v>
      </c>
      <c r="AN1209" s="9">
        <v>31</v>
      </c>
      <c r="AO1209" s="8" t="s">
        <v>379</v>
      </c>
      <c r="AP1209" s="8">
        <v>965</v>
      </c>
      <c r="AQ1209" s="8">
        <v>23</v>
      </c>
      <c r="AR1209" s="8">
        <v>27.1</v>
      </c>
      <c r="AS1209" s="8">
        <v>25.4</v>
      </c>
      <c r="AT1209" s="8">
        <v>38</v>
      </c>
      <c r="AU1209" s="8">
        <v>15.1</v>
      </c>
      <c r="AV1209" s="8">
        <v>77</v>
      </c>
      <c r="AW1209" s="8">
        <v>58</v>
      </c>
      <c r="AX1209" s="8">
        <v>524</v>
      </c>
      <c r="AY1209" s="8" t="s">
        <v>64</v>
      </c>
      <c r="AZ1209" s="8" t="s">
        <v>54</v>
      </c>
      <c r="BA1209" s="7">
        <v>0</v>
      </c>
      <c r="BB1209" s="9">
        <v>18</v>
      </c>
      <c r="BC1209" s="8" t="s">
        <v>378</v>
      </c>
      <c r="BD1209" s="8">
        <v>0.6</v>
      </c>
      <c r="BE1209" s="8">
        <v>0.8</v>
      </c>
      <c r="BF1209" s="8">
        <v>1.5</v>
      </c>
      <c r="BG1209" s="8">
        <v>3.1</v>
      </c>
      <c r="BH1209" s="8">
        <v>5.7</v>
      </c>
      <c r="BI1209" s="8">
        <v>11.6</v>
      </c>
      <c r="BJ1209" s="8">
        <v>16.100000000000001</v>
      </c>
      <c r="BK1209" s="8">
        <v>14.2</v>
      </c>
      <c r="BL1209" s="8">
        <v>8.1</v>
      </c>
      <c r="BM1209" s="8">
        <v>3.5</v>
      </c>
      <c r="BN1209" s="8">
        <v>1.3</v>
      </c>
      <c r="BO1209" s="8">
        <v>0.7</v>
      </c>
      <c r="BP1209" s="7">
        <v>5.6</v>
      </c>
    </row>
    <row r="1210" spans="1:68" ht="14.25" customHeight="1">
      <c r="A1210" s="12">
        <v>553</v>
      </c>
      <c r="B1210" s="14">
        <v>32</v>
      </c>
      <c r="C1210" s="13" t="s">
        <v>30</v>
      </c>
      <c r="D1210" s="13" t="s">
        <v>99</v>
      </c>
      <c r="E1210" s="13" t="s">
        <v>375</v>
      </c>
      <c r="F1210" s="11">
        <v>-31.7</v>
      </c>
      <c r="G1210" s="11">
        <v>-25.9</v>
      </c>
      <c r="H1210" s="11">
        <v>-16.2</v>
      </c>
      <c r="I1210" s="11">
        <v>-3.8</v>
      </c>
      <c r="J1210" s="11">
        <v>6</v>
      </c>
      <c r="K1210" s="11">
        <v>13.4</v>
      </c>
      <c r="L1210" s="11">
        <v>17.100000000000001</v>
      </c>
      <c r="M1210" s="11">
        <v>13.9</v>
      </c>
      <c r="N1210" s="11">
        <v>6.3</v>
      </c>
      <c r="O1210" s="11">
        <v>-5.7</v>
      </c>
      <c r="P1210" s="11">
        <v>-21.5</v>
      </c>
      <c r="Q1210" s="11">
        <v>-30.2</v>
      </c>
      <c r="R1210" s="10">
        <v>-6.5</v>
      </c>
      <c r="S1210" s="12">
        <v>32</v>
      </c>
      <c r="T1210" s="8" t="s">
        <v>377</v>
      </c>
      <c r="U1210" s="11">
        <v>-48</v>
      </c>
      <c r="V1210" s="11">
        <v>-46</v>
      </c>
      <c r="W1210" s="11">
        <v>-44</v>
      </c>
      <c r="X1210" s="11">
        <v>-42</v>
      </c>
      <c r="Y1210" s="11">
        <v>-37</v>
      </c>
      <c r="Z1210" s="11">
        <v>-54</v>
      </c>
      <c r="AA1210" s="11">
        <v>12.5</v>
      </c>
      <c r="AB1210" s="11">
        <v>208</v>
      </c>
      <c r="AC1210" s="11">
        <v>-19.2</v>
      </c>
      <c r="AD1210" s="11">
        <v>258</v>
      </c>
      <c r="AE1210" s="11">
        <v>-14.7</v>
      </c>
      <c r="AF1210" s="11">
        <v>274</v>
      </c>
      <c r="AG1210" s="11">
        <v>-13.3</v>
      </c>
      <c r="AH1210" s="11">
        <v>75</v>
      </c>
      <c r="AI1210" s="11">
        <v>71</v>
      </c>
      <c r="AJ1210" s="11">
        <v>62</v>
      </c>
      <c r="AK1210" s="11" t="s">
        <v>48</v>
      </c>
      <c r="AL1210" s="11">
        <v>5.3</v>
      </c>
      <c r="AM1210" s="10">
        <v>2.9</v>
      </c>
      <c r="AN1210" s="9">
        <v>32</v>
      </c>
      <c r="AO1210" s="8" t="s">
        <v>376</v>
      </c>
      <c r="AP1210" s="8">
        <v>950</v>
      </c>
      <c r="AQ1210" s="8">
        <v>22.5</v>
      </c>
      <c r="AR1210" s="8">
        <v>26.6</v>
      </c>
      <c r="AS1210" s="8">
        <v>24.9</v>
      </c>
      <c r="AT1210" s="8">
        <v>36</v>
      </c>
      <c r="AU1210" s="8">
        <v>14.9</v>
      </c>
      <c r="AV1210" s="8">
        <v>76</v>
      </c>
      <c r="AW1210" s="8">
        <v>56</v>
      </c>
      <c r="AX1210" s="8">
        <v>518</v>
      </c>
      <c r="AY1210" s="8">
        <v>69</v>
      </c>
      <c r="AZ1210" s="8" t="s">
        <v>43</v>
      </c>
      <c r="BA1210" s="7">
        <v>0</v>
      </c>
      <c r="BB1210" s="9">
        <v>19</v>
      </c>
      <c r="BC1210" s="8" t="s">
        <v>375</v>
      </c>
      <c r="BD1210" s="8">
        <v>0.4</v>
      </c>
      <c r="BE1210" s="8">
        <v>0.6</v>
      </c>
      <c r="BF1210" s="8">
        <v>1.3</v>
      </c>
      <c r="BG1210" s="8">
        <v>2.9</v>
      </c>
      <c r="BH1210" s="8">
        <v>5.5</v>
      </c>
      <c r="BI1210" s="8">
        <v>10.4</v>
      </c>
      <c r="BJ1210" s="8">
        <v>14.6</v>
      </c>
      <c r="BK1210" s="8">
        <v>12.8</v>
      </c>
      <c r="BL1210" s="8">
        <v>7.4</v>
      </c>
      <c r="BM1210" s="8">
        <v>3.2</v>
      </c>
      <c r="BN1210" s="8">
        <v>1</v>
      </c>
      <c r="BO1210" s="8">
        <v>0.5</v>
      </c>
      <c r="BP1210" s="7">
        <v>5.0999999999999996</v>
      </c>
    </row>
    <row r="1211" spans="1:68" ht="14.25" customHeight="1">
      <c r="A1211" s="12">
        <v>554</v>
      </c>
      <c r="B1211" s="14">
        <v>336</v>
      </c>
      <c r="C1211" s="13" t="s">
        <v>30</v>
      </c>
      <c r="D1211" s="13" t="s">
        <v>259</v>
      </c>
      <c r="E1211" s="13" t="s">
        <v>372</v>
      </c>
      <c r="F1211" s="11">
        <v>-17.399999999999999</v>
      </c>
      <c r="G1211" s="11">
        <v>-16.100000000000001</v>
      </c>
      <c r="H1211" s="11">
        <v>-7.7</v>
      </c>
      <c r="I1211" s="11">
        <v>3.2</v>
      </c>
      <c r="J1211" s="11">
        <v>11</v>
      </c>
      <c r="K1211" s="11">
        <v>15.7</v>
      </c>
      <c r="L1211" s="11">
        <v>18.2</v>
      </c>
      <c r="M1211" s="11">
        <v>14.8</v>
      </c>
      <c r="N1211" s="11">
        <v>9.6999999999999993</v>
      </c>
      <c r="O1211" s="11">
        <v>1</v>
      </c>
      <c r="P1211" s="11">
        <v>-7.9</v>
      </c>
      <c r="Q1211" s="11">
        <v>-13.7</v>
      </c>
      <c r="R1211" s="10">
        <v>0.9</v>
      </c>
      <c r="S1211" s="12">
        <v>336</v>
      </c>
      <c r="T1211" s="8" t="s">
        <v>374</v>
      </c>
      <c r="U1211" s="11">
        <v>-45</v>
      </c>
      <c r="V1211" s="11">
        <v>-42</v>
      </c>
      <c r="W1211" s="11">
        <v>-42</v>
      </c>
      <c r="X1211" s="11">
        <v>-38</v>
      </c>
      <c r="Y1211" s="11">
        <v>-22</v>
      </c>
      <c r="Z1211" s="11">
        <v>-50</v>
      </c>
      <c r="AA1211" s="11">
        <v>9.1999999999999993</v>
      </c>
      <c r="AB1211" s="11">
        <v>169</v>
      </c>
      <c r="AC1211" s="11">
        <v>-10.9</v>
      </c>
      <c r="AD1211" s="11">
        <v>225</v>
      </c>
      <c r="AE1211" s="11">
        <v>-7.2</v>
      </c>
      <c r="AF1211" s="11">
        <v>240</v>
      </c>
      <c r="AG1211" s="11">
        <v>-6.1</v>
      </c>
      <c r="AH1211" s="11">
        <v>81</v>
      </c>
      <c r="AI1211" s="11">
        <v>78</v>
      </c>
      <c r="AJ1211" s="11">
        <v>107</v>
      </c>
      <c r="AK1211" s="11" t="s">
        <v>39</v>
      </c>
      <c r="AL1211" s="11">
        <v>3.9</v>
      </c>
      <c r="AM1211" s="10">
        <v>3.6</v>
      </c>
      <c r="AN1211" s="9">
        <v>336</v>
      </c>
      <c r="AO1211" s="8" t="s">
        <v>373</v>
      </c>
      <c r="AP1211" s="8">
        <v>1000</v>
      </c>
      <c r="AQ1211" s="8">
        <v>21.6</v>
      </c>
      <c r="AR1211" s="8">
        <v>25.8</v>
      </c>
      <c r="AS1211" s="8">
        <v>24</v>
      </c>
      <c r="AT1211" s="8">
        <v>38</v>
      </c>
      <c r="AU1211" s="8">
        <v>11.3</v>
      </c>
      <c r="AV1211" s="8">
        <v>74</v>
      </c>
      <c r="AW1211" s="8">
        <v>58</v>
      </c>
      <c r="AX1211" s="8">
        <v>342</v>
      </c>
      <c r="AY1211" s="8">
        <v>111</v>
      </c>
      <c r="AZ1211" s="8" t="s">
        <v>54</v>
      </c>
      <c r="BA1211" s="7">
        <v>0</v>
      </c>
      <c r="BB1211" s="9">
        <v>304</v>
      </c>
      <c r="BC1211" s="8" t="s">
        <v>372</v>
      </c>
      <c r="BD1211" s="8">
        <v>1.5</v>
      </c>
      <c r="BE1211" s="8">
        <v>1.6</v>
      </c>
      <c r="BF1211" s="8">
        <v>2.7</v>
      </c>
      <c r="BG1211" s="8">
        <v>5</v>
      </c>
      <c r="BH1211" s="8">
        <v>7.4</v>
      </c>
      <c r="BI1211" s="8">
        <v>11.6</v>
      </c>
      <c r="BJ1211" s="8">
        <v>15</v>
      </c>
      <c r="BK1211" s="8">
        <v>13</v>
      </c>
      <c r="BL1211" s="8">
        <v>9.1999999999999993</v>
      </c>
      <c r="BM1211" s="8">
        <v>5.3</v>
      </c>
      <c r="BN1211" s="8">
        <v>3.3</v>
      </c>
      <c r="BO1211" s="8">
        <v>2.1</v>
      </c>
      <c r="BP1211" s="7">
        <v>6.5</v>
      </c>
    </row>
    <row r="1212" spans="1:68" ht="14.25" customHeight="1">
      <c r="A1212" s="12">
        <v>555</v>
      </c>
      <c r="B1212" s="14">
        <v>441</v>
      </c>
      <c r="C1212" s="13" t="s">
        <v>30</v>
      </c>
      <c r="D1212" s="13" t="s">
        <v>57</v>
      </c>
      <c r="E1212" s="13" t="s">
        <v>370</v>
      </c>
      <c r="F1212" s="11">
        <v>-33.1</v>
      </c>
      <c r="G1212" s="11">
        <v>-29.9</v>
      </c>
      <c r="H1212" s="11">
        <v>-18.2</v>
      </c>
      <c r="I1212" s="11">
        <v>-4.5</v>
      </c>
      <c r="J1212" s="11">
        <v>5.7</v>
      </c>
      <c r="K1212" s="11">
        <v>13.6</v>
      </c>
      <c r="L1212" s="11">
        <v>17</v>
      </c>
      <c r="M1212" s="11">
        <v>13.2</v>
      </c>
      <c r="N1212" s="11">
        <v>5.0999999999999996</v>
      </c>
      <c r="O1212" s="11">
        <v>-5.9</v>
      </c>
      <c r="P1212" s="11">
        <v>-22.6</v>
      </c>
      <c r="Q1212" s="11">
        <v>-32.200000000000003</v>
      </c>
      <c r="R1212" s="10">
        <v>-7.7</v>
      </c>
      <c r="S1212" s="12">
        <v>441</v>
      </c>
      <c r="T1212" s="8" t="s">
        <v>370</v>
      </c>
      <c r="U1212" s="11">
        <v>-55</v>
      </c>
      <c r="V1212" s="11">
        <v>-53</v>
      </c>
      <c r="W1212" s="11">
        <v>-52</v>
      </c>
      <c r="X1212" s="11">
        <v>-50</v>
      </c>
      <c r="Y1212" s="11">
        <v>-38</v>
      </c>
      <c r="Z1212" s="11">
        <v>-57</v>
      </c>
      <c r="AA1212" s="11">
        <v>11.9</v>
      </c>
      <c r="AB1212" s="11">
        <v>211</v>
      </c>
      <c r="AC1212" s="11">
        <v>-20.5</v>
      </c>
      <c r="AD1212" s="11">
        <v>262</v>
      </c>
      <c r="AE1212" s="11">
        <v>-15.7</v>
      </c>
      <c r="AF1212" s="11">
        <v>278</v>
      </c>
      <c r="AG1212" s="11">
        <v>-14.4</v>
      </c>
      <c r="AH1212" s="11">
        <v>78</v>
      </c>
      <c r="AI1212" s="11">
        <v>77</v>
      </c>
      <c r="AJ1212" s="11">
        <v>89</v>
      </c>
      <c r="AK1212" s="11" t="s">
        <v>75</v>
      </c>
      <c r="AL1212" s="11" t="s">
        <v>44</v>
      </c>
      <c r="AM1212" s="10">
        <v>0.8</v>
      </c>
      <c r="AN1212" s="9">
        <v>441</v>
      </c>
      <c r="AO1212" s="8" t="s">
        <v>371</v>
      </c>
      <c r="AP1212" s="8">
        <v>985</v>
      </c>
      <c r="AQ1212" s="8">
        <v>23.8</v>
      </c>
      <c r="AR1212" s="8">
        <v>27.9</v>
      </c>
      <c r="AS1212" s="8">
        <v>26.2</v>
      </c>
      <c r="AT1212" s="8">
        <v>38</v>
      </c>
      <c r="AU1212" s="8">
        <v>17.899999999999999</v>
      </c>
      <c r="AV1212" s="8">
        <v>74</v>
      </c>
      <c r="AW1212" s="8">
        <v>51</v>
      </c>
      <c r="AX1212" s="8">
        <v>289</v>
      </c>
      <c r="AY1212" s="8">
        <v>57</v>
      </c>
      <c r="AZ1212" s="8" t="s">
        <v>54</v>
      </c>
      <c r="BA1212" s="7" t="s">
        <v>46</v>
      </c>
      <c r="BB1212" s="9">
        <v>403</v>
      </c>
      <c r="BC1212" s="8" t="s">
        <v>370</v>
      </c>
      <c r="BD1212" s="8">
        <v>0.5</v>
      </c>
      <c r="BE1212" s="8">
        <v>0.6</v>
      </c>
      <c r="BF1212" s="8">
        <v>1.2</v>
      </c>
      <c r="BG1212" s="8">
        <v>2.8</v>
      </c>
      <c r="BH1212" s="8">
        <v>5.3</v>
      </c>
      <c r="BI1212" s="8">
        <v>10.1</v>
      </c>
      <c r="BJ1212" s="8">
        <v>13.9</v>
      </c>
      <c r="BK1212" s="8">
        <v>12</v>
      </c>
      <c r="BL1212" s="8">
        <v>7.1</v>
      </c>
      <c r="BM1212" s="8">
        <v>3.4</v>
      </c>
      <c r="BN1212" s="8">
        <v>1</v>
      </c>
      <c r="BO1212" s="8">
        <v>0.5</v>
      </c>
      <c r="BP1212" s="7">
        <v>4.9000000000000004</v>
      </c>
    </row>
    <row r="1213" spans="1:68" ht="14.25" customHeight="1">
      <c r="A1213" s="12">
        <v>556</v>
      </c>
      <c r="B1213" s="14">
        <v>61</v>
      </c>
      <c r="C1213" s="13" t="s">
        <v>30</v>
      </c>
      <c r="D1213" s="13" t="s">
        <v>237</v>
      </c>
      <c r="E1213" s="13" t="s">
        <v>367</v>
      </c>
      <c r="F1213" s="11">
        <v>-28.3</v>
      </c>
      <c r="G1213" s="11">
        <v>-24.5</v>
      </c>
      <c r="H1213" s="11">
        <v>-15.7</v>
      </c>
      <c r="I1213" s="11">
        <v>-5.2</v>
      </c>
      <c r="J1213" s="11">
        <v>3.5</v>
      </c>
      <c r="K1213" s="11">
        <v>11.6</v>
      </c>
      <c r="L1213" s="11">
        <v>14.8</v>
      </c>
      <c r="M1213" s="11">
        <v>11.8</v>
      </c>
      <c r="N1213" s="11">
        <v>4.7</v>
      </c>
      <c r="O1213" s="11">
        <v>-6</v>
      </c>
      <c r="P1213" s="11">
        <v>-18.7</v>
      </c>
      <c r="Q1213" s="11">
        <v>-26.5</v>
      </c>
      <c r="R1213" s="10">
        <v>-6.5</v>
      </c>
      <c r="S1213" s="12">
        <v>61</v>
      </c>
      <c r="T1213" s="8" t="s">
        <v>369</v>
      </c>
      <c r="U1213" s="11">
        <v>-43</v>
      </c>
      <c r="V1213" s="11">
        <v>-42</v>
      </c>
      <c r="W1213" s="11">
        <v>-42</v>
      </c>
      <c r="X1213" s="11">
        <v>-40</v>
      </c>
      <c r="Y1213" s="11">
        <v>-33</v>
      </c>
      <c r="Z1213" s="11">
        <v>-48</v>
      </c>
      <c r="AA1213" s="11">
        <v>10.4</v>
      </c>
      <c r="AB1213" s="11">
        <v>217</v>
      </c>
      <c r="AC1213" s="11">
        <v>-17.100000000000001</v>
      </c>
      <c r="AD1213" s="11">
        <v>274</v>
      </c>
      <c r="AE1213" s="11">
        <v>-12.7</v>
      </c>
      <c r="AF1213" s="11">
        <v>290</v>
      </c>
      <c r="AG1213" s="11">
        <v>-11.4</v>
      </c>
      <c r="AH1213" s="11">
        <v>74</v>
      </c>
      <c r="AI1213" s="11">
        <v>70</v>
      </c>
      <c r="AJ1213" s="11">
        <v>26</v>
      </c>
      <c r="AK1213" s="11" t="s">
        <v>75</v>
      </c>
      <c r="AL1213" s="11" t="s">
        <v>44</v>
      </c>
      <c r="AM1213" s="10" t="s">
        <v>44</v>
      </c>
      <c r="AN1213" s="9">
        <v>61</v>
      </c>
      <c r="AO1213" s="8" t="s">
        <v>368</v>
      </c>
      <c r="AP1213" s="8">
        <v>890</v>
      </c>
      <c r="AQ1213" s="8">
        <v>18.8</v>
      </c>
      <c r="AR1213" s="8">
        <v>23.1</v>
      </c>
      <c r="AS1213" s="8">
        <v>21.2</v>
      </c>
      <c r="AT1213" s="8">
        <v>30</v>
      </c>
      <c r="AU1213" s="8">
        <v>13</v>
      </c>
      <c r="AV1213" s="8">
        <v>70</v>
      </c>
      <c r="AW1213" s="8">
        <v>52</v>
      </c>
      <c r="AX1213" s="8">
        <v>362</v>
      </c>
      <c r="AY1213" s="8" t="s">
        <v>64</v>
      </c>
      <c r="AZ1213" s="8" t="s">
        <v>54</v>
      </c>
      <c r="BA1213" s="7" t="s">
        <v>46</v>
      </c>
      <c r="BB1213" s="9">
        <v>47</v>
      </c>
      <c r="BC1213" s="8" t="s">
        <v>367</v>
      </c>
      <c r="BD1213" s="8">
        <v>0.5</v>
      </c>
      <c r="BE1213" s="8">
        <v>0.6</v>
      </c>
      <c r="BF1213" s="8">
        <v>1.2</v>
      </c>
      <c r="BG1213" s="8">
        <v>2.2999999999999998</v>
      </c>
      <c r="BH1213" s="8">
        <v>4</v>
      </c>
      <c r="BI1213" s="8">
        <v>8.1</v>
      </c>
      <c r="BJ1213" s="8">
        <v>11.7</v>
      </c>
      <c r="BK1213" s="8">
        <v>10.199999999999999</v>
      </c>
      <c r="BL1213" s="8">
        <v>5.6</v>
      </c>
      <c r="BM1213" s="8">
        <v>2.8</v>
      </c>
      <c r="BN1213" s="8">
        <v>1.1000000000000001</v>
      </c>
      <c r="BO1213" s="8">
        <v>0.6</v>
      </c>
      <c r="BP1213" s="7">
        <v>4.0999999999999996</v>
      </c>
    </row>
    <row r="1214" spans="1:68" ht="14.25" customHeight="1">
      <c r="A1214" s="12">
        <v>557</v>
      </c>
      <c r="B1214" s="14">
        <v>337</v>
      </c>
      <c r="C1214" s="13" t="s">
        <v>30</v>
      </c>
      <c r="D1214" s="13" t="s">
        <v>259</v>
      </c>
      <c r="E1214" s="13" t="s">
        <v>364</v>
      </c>
      <c r="F1214" s="11">
        <v>-21</v>
      </c>
      <c r="G1214" s="11">
        <v>-19.399999999999999</v>
      </c>
      <c r="H1214" s="11">
        <v>-10.9</v>
      </c>
      <c r="I1214" s="11">
        <v>-1.1000000000000001</v>
      </c>
      <c r="J1214" s="11">
        <v>6</v>
      </c>
      <c r="K1214" s="11">
        <v>13.4</v>
      </c>
      <c r="L1214" s="11">
        <v>17.399999999999999</v>
      </c>
      <c r="M1214" s="11">
        <v>13.6</v>
      </c>
      <c r="N1214" s="11">
        <v>7.9</v>
      </c>
      <c r="O1214" s="11">
        <v>-1.4</v>
      </c>
      <c r="P1214" s="11">
        <v>-12.6</v>
      </c>
      <c r="Q1214" s="11">
        <v>-18.8</v>
      </c>
      <c r="R1214" s="10">
        <v>-2.2000000000000002</v>
      </c>
      <c r="S1214" s="12">
        <v>337</v>
      </c>
      <c r="T1214" s="8" t="s">
        <v>366</v>
      </c>
      <c r="U1214" s="11">
        <v>-49</v>
      </c>
      <c r="V1214" s="11">
        <v>-46</v>
      </c>
      <c r="W1214" s="11">
        <v>-45</v>
      </c>
      <c r="X1214" s="11">
        <v>-42</v>
      </c>
      <c r="Y1214" s="11">
        <v>-26</v>
      </c>
      <c r="Z1214" s="11">
        <v>-54</v>
      </c>
      <c r="AA1214" s="11">
        <v>9.4</v>
      </c>
      <c r="AB1214" s="11">
        <v>191</v>
      </c>
      <c r="AC1214" s="11">
        <v>-13.3</v>
      </c>
      <c r="AD1214" s="11">
        <v>251</v>
      </c>
      <c r="AE1214" s="11">
        <v>-9.1</v>
      </c>
      <c r="AF1214" s="11">
        <v>270</v>
      </c>
      <c r="AG1214" s="11">
        <v>-7.9</v>
      </c>
      <c r="AH1214" s="11">
        <v>82</v>
      </c>
      <c r="AI1214" s="11">
        <v>80</v>
      </c>
      <c r="AJ1214" s="11">
        <v>123</v>
      </c>
      <c r="AK1214" s="11" t="s">
        <v>39</v>
      </c>
      <c r="AL1214" s="11">
        <v>4.4000000000000004</v>
      </c>
      <c r="AM1214" s="10" t="s">
        <v>44</v>
      </c>
      <c r="AN1214" s="9">
        <v>337</v>
      </c>
      <c r="AO1214" s="8" t="s">
        <v>365</v>
      </c>
      <c r="AP1214" s="8">
        <v>1005</v>
      </c>
      <c r="AQ1214" s="8">
        <v>20.9</v>
      </c>
      <c r="AR1214" s="8">
        <v>25.1</v>
      </c>
      <c r="AS1214" s="8">
        <v>23.3</v>
      </c>
      <c r="AT1214" s="8">
        <v>36</v>
      </c>
      <c r="AU1214" s="8">
        <v>11.6</v>
      </c>
      <c r="AV1214" s="8">
        <v>72</v>
      </c>
      <c r="AW1214" s="8">
        <v>57</v>
      </c>
      <c r="AX1214" s="8">
        <v>460</v>
      </c>
      <c r="AY1214" s="8" t="s">
        <v>64</v>
      </c>
      <c r="AZ1214" s="8" t="s">
        <v>32</v>
      </c>
      <c r="BA1214" s="7">
        <v>0</v>
      </c>
      <c r="BB1214" s="9">
        <v>305</v>
      </c>
      <c r="BC1214" s="8" t="s">
        <v>364</v>
      </c>
      <c r="BD1214" s="8">
        <v>1.3</v>
      </c>
      <c r="BE1214" s="8">
        <v>1.3</v>
      </c>
      <c r="BF1214" s="8">
        <v>2.2000000000000002</v>
      </c>
      <c r="BG1214" s="8">
        <v>4</v>
      </c>
      <c r="BH1214" s="8">
        <v>6.1</v>
      </c>
      <c r="BI1214" s="8">
        <v>10.3</v>
      </c>
      <c r="BJ1214" s="8">
        <v>14</v>
      </c>
      <c r="BK1214" s="8">
        <v>12.4</v>
      </c>
      <c r="BL1214" s="8">
        <v>8.8000000000000007</v>
      </c>
      <c r="BM1214" s="8">
        <v>4.9000000000000004</v>
      </c>
      <c r="BN1214" s="8">
        <v>2.5</v>
      </c>
      <c r="BO1214" s="8">
        <v>1.6</v>
      </c>
      <c r="BP1214" s="7">
        <v>5.8</v>
      </c>
    </row>
    <row r="1215" spans="1:68" ht="14.25" customHeight="1">
      <c r="A1215" s="12">
        <v>558</v>
      </c>
      <c r="B1215" s="14">
        <v>616</v>
      </c>
      <c r="C1215" s="13" t="s">
        <v>52</v>
      </c>
      <c r="D1215" s="13" t="s">
        <v>363</v>
      </c>
      <c r="E1215" s="13" t="s">
        <v>361</v>
      </c>
      <c r="F1215" s="11">
        <v>-2.8</v>
      </c>
      <c r="G1215" s="11">
        <v>-0.2</v>
      </c>
      <c r="H1215" s="11">
        <v>4.7</v>
      </c>
      <c r="I1215" s="11">
        <v>10.7</v>
      </c>
      <c r="J1215" s="11">
        <v>15.6</v>
      </c>
      <c r="K1215" s="11">
        <v>18.5</v>
      </c>
      <c r="L1215" s="11">
        <v>19.899999999999999</v>
      </c>
      <c r="M1215" s="11">
        <v>19.399999999999999</v>
      </c>
      <c r="N1215" s="11">
        <v>15.5</v>
      </c>
      <c r="O1215" s="11">
        <v>10</v>
      </c>
      <c r="P1215" s="11">
        <v>4.9000000000000004</v>
      </c>
      <c r="Q1215" s="11">
        <v>-0.4</v>
      </c>
      <c r="R1215" s="10">
        <v>9.6999999999999993</v>
      </c>
      <c r="S1215" s="12">
        <v>605</v>
      </c>
      <c r="T1215" s="8" t="s">
        <v>361</v>
      </c>
      <c r="U1215" s="11">
        <v>-25</v>
      </c>
      <c r="V1215" s="11">
        <v>-23</v>
      </c>
      <c r="W1215" s="11">
        <v>-21</v>
      </c>
      <c r="X1215" s="11">
        <v>-18</v>
      </c>
      <c r="Y1215" s="11">
        <v>-7</v>
      </c>
      <c r="Z1215" s="11">
        <v>-32</v>
      </c>
      <c r="AA1215" s="11" t="s">
        <v>49</v>
      </c>
      <c r="AB1215" s="11">
        <v>63</v>
      </c>
      <c r="AC1215" s="11">
        <v>2</v>
      </c>
      <c r="AD1215" s="11">
        <v>154</v>
      </c>
      <c r="AE1215" s="11">
        <v>1.5</v>
      </c>
      <c r="AF1215" s="11">
        <v>176</v>
      </c>
      <c r="AG1215" s="11">
        <v>2.4</v>
      </c>
      <c r="AH1215" s="11" t="s">
        <v>49</v>
      </c>
      <c r="AI1215" s="11" t="s">
        <v>49</v>
      </c>
      <c r="AJ1215" s="11">
        <v>278</v>
      </c>
      <c r="AK1215" s="11" t="s">
        <v>27</v>
      </c>
      <c r="AL1215" s="11">
        <v>4.4000000000000004</v>
      </c>
      <c r="AM1215" s="10" t="s">
        <v>44</v>
      </c>
      <c r="AN1215" s="9">
        <v>606</v>
      </c>
      <c r="AO1215" s="8" t="s">
        <v>362</v>
      </c>
      <c r="AP1215" s="8">
        <v>1000</v>
      </c>
      <c r="AQ1215" s="8">
        <v>27</v>
      </c>
      <c r="AR1215" s="8">
        <v>24</v>
      </c>
      <c r="AS1215" s="8">
        <v>25.9</v>
      </c>
      <c r="AT1215" s="8">
        <v>39</v>
      </c>
      <c r="AU1215" s="8" t="s">
        <v>46</v>
      </c>
      <c r="AV1215" s="8" t="s">
        <v>45</v>
      </c>
      <c r="AW1215" s="8" t="s">
        <v>44</v>
      </c>
      <c r="AX1215" s="8" t="s">
        <v>44</v>
      </c>
      <c r="AY1215" s="8">
        <v>75</v>
      </c>
      <c r="AZ1215" s="8" t="s">
        <v>63</v>
      </c>
      <c r="BA1215" s="7">
        <v>1.5</v>
      </c>
      <c r="BB1215" s="9"/>
      <c r="BC1215" s="8" t="s">
        <v>361</v>
      </c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7"/>
    </row>
    <row r="1216" spans="1:68" ht="14.25" customHeight="1">
      <c r="A1216" s="12">
        <v>559</v>
      </c>
      <c r="B1216" s="14">
        <v>500</v>
      </c>
      <c r="C1216" s="13" t="s">
        <v>121</v>
      </c>
      <c r="D1216" s="13" t="s">
        <v>200</v>
      </c>
      <c r="E1216" s="13" t="s">
        <v>359</v>
      </c>
      <c r="F1216" s="11">
        <v>-13</v>
      </c>
      <c r="G1216" s="11">
        <v>-12.1</v>
      </c>
      <c r="H1216" s="11">
        <v>-4.9000000000000004</v>
      </c>
      <c r="I1216" s="11">
        <v>8.3000000000000007</v>
      </c>
      <c r="J1216" s="11">
        <v>16.8</v>
      </c>
      <c r="K1216" s="11">
        <v>22.1</v>
      </c>
      <c r="L1216" s="11">
        <v>24.6</v>
      </c>
      <c r="M1216" s="11">
        <v>22.7</v>
      </c>
      <c r="N1216" s="11">
        <v>15.7</v>
      </c>
      <c r="O1216" s="11">
        <v>6.3</v>
      </c>
      <c r="P1216" s="11">
        <v>-2.1</v>
      </c>
      <c r="Q1216" s="11">
        <v>-8.8000000000000007</v>
      </c>
      <c r="R1216" s="10">
        <v>6.3</v>
      </c>
      <c r="S1216" s="12">
        <v>500</v>
      </c>
      <c r="T1216" s="8" t="s">
        <v>359</v>
      </c>
      <c r="U1216" s="11">
        <v>-39</v>
      </c>
      <c r="V1216" s="11">
        <v>-38</v>
      </c>
      <c r="W1216" s="11">
        <v>-36</v>
      </c>
      <c r="X1216" s="11">
        <v>-34</v>
      </c>
      <c r="Y1216" s="11">
        <v>-18</v>
      </c>
      <c r="Z1216" s="11">
        <v>-42</v>
      </c>
      <c r="AA1216" s="11">
        <v>8.6</v>
      </c>
      <c r="AB1216" s="11">
        <v>142</v>
      </c>
      <c r="AC1216" s="11">
        <v>-8.6999999999999993</v>
      </c>
      <c r="AD1216" s="11">
        <v>187</v>
      </c>
      <c r="AE1216" s="11">
        <v>-5.6</v>
      </c>
      <c r="AF1216" s="11">
        <v>201</v>
      </c>
      <c r="AG1216" s="11">
        <v>-4.5999999999999996</v>
      </c>
      <c r="AH1216" s="11">
        <v>81</v>
      </c>
      <c r="AI1216" s="11">
        <v>76</v>
      </c>
      <c r="AJ1216" s="11">
        <v>104</v>
      </c>
      <c r="AK1216" s="11" t="s">
        <v>27</v>
      </c>
      <c r="AL1216" s="11">
        <v>6.1</v>
      </c>
      <c r="AM1216" s="10">
        <v>4.4000000000000004</v>
      </c>
      <c r="AN1216" s="9">
        <v>500</v>
      </c>
      <c r="AO1216" s="8" t="s">
        <v>360</v>
      </c>
      <c r="AP1216" s="8">
        <v>1005</v>
      </c>
      <c r="AQ1216" s="8">
        <v>29.8</v>
      </c>
      <c r="AR1216" s="8">
        <v>33.5</v>
      </c>
      <c r="AS1216" s="8">
        <v>31.3</v>
      </c>
      <c r="AT1216" s="8">
        <v>43</v>
      </c>
      <c r="AU1216" s="8">
        <v>14.1</v>
      </c>
      <c r="AV1216" s="8">
        <v>42</v>
      </c>
      <c r="AW1216" s="8" t="s">
        <v>44</v>
      </c>
      <c r="AX1216" s="8">
        <v>146</v>
      </c>
      <c r="AY1216" s="8" t="s">
        <v>64</v>
      </c>
      <c r="AZ1216" s="8" t="s">
        <v>54</v>
      </c>
      <c r="BA1216" s="7">
        <v>63</v>
      </c>
      <c r="BB1216" s="9"/>
      <c r="BC1216" s="8" t="s">
        <v>359</v>
      </c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7"/>
    </row>
    <row r="1217" spans="1:68" ht="14.25" customHeight="1">
      <c r="A1217" s="12">
        <v>560</v>
      </c>
      <c r="B1217" s="14">
        <v>126</v>
      </c>
      <c r="C1217" s="13" t="s">
        <v>30</v>
      </c>
      <c r="D1217" s="13" t="s">
        <v>293</v>
      </c>
      <c r="E1217" s="13" t="s">
        <v>356</v>
      </c>
      <c r="F1217" s="11">
        <v>-15.8</v>
      </c>
      <c r="G1217" s="11">
        <v>-16.3</v>
      </c>
      <c r="H1217" s="11">
        <v>-13.5</v>
      </c>
      <c r="I1217" s="11">
        <v>-6.2</v>
      </c>
      <c r="J1217" s="11">
        <v>-0.1</v>
      </c>
      <c r="K1217" s="11">
        <v>6.3</v>
      </c>
      <c r="L1217" s="11">
        <v>12.2</v>
      </c>
      <c r="M1217" s="11">
        <v>12.6</v>
      </c>
      <c r="N1217" s="11">
        <v>8.1</v>
      </c>
      <c r="O1217" s="11">
        <v>0.7</v>
      </c>
      <c r="P1217" s="11">
        <v>-7.1</v>
      </c>
      <c r="Q1217" s="11">
        <v>-13.2</v>
      </c>
      <c r="R1217" s="10">
        <v>-2.7</v>
      </c>
      <c r="S1217" s="12">
        <v>126</v>
      </c>
      <c r="T1217" s="8" t="s">
        <v>358</v>
      </c>
      <c r="U1217" s="11">
        <v>-39</v>
      </c>
      <c r="V1217" s="11">
        <v>-37</v>
      </c>
      <c r="W1217" s="11">
        <v>-36</v>
      </c>
      <c r="X1217" s="11">
        <v>-34</v>
      </c>
      <c r="Y1217" s="11">
        <v>-21</v>
      </c>
      <c r="Z1217" s="11">
        <v>-43</v>
      </c>
      <c r="AA1217" s="11">
        <v>9.6</v>
      </c>
      <c r="AB1217" s="11">
        <v>210</v>
      </c>
      <c r="AC1217" s="11">
        <v>-10.3</v>
      </c>
      <c r="AD1217" s="11">
        <v>281</v>
      </c>
      <c r="AE1217" s="11">
        <v>-6.7</v>
      </c>
      <c r="AF1217" s="11">
        <v>305</v>
      </c>
      <c r="AG1217" s="11">
        <v>-5.5</v>
      </c>
      <c r="AH1217" s="11">
        <v>82</v>
      </c>
      <c r="AI1217" s="11">
        <v>81</v>
      </c>
      <c r="AJ1217" s="11">
        <v>407</v>
      </c>
      <c r="AK1217" s="11" t="s">
        <v>56</v>
      </c>
      <c r="AL1217" s="11">
        <v>9.1999999999999993</v>
      </c>
      <c r="AM1217" s="10" t="s">
        <v>44</v>
      </c>
      <c r="AN1217" s="9">
        <v>126</v>
      </c>
      <c r="AO1217" s="8" t="s">
        <v>357</v>
      </c>
      <c r="AP1217" s="8">
        <v>1010</v>
      </c>
      <c r="AQ1217" s="8">
        <v>14.6</v>
      </c>
      <c r="AR1217" s="8">
        <v>19.2</v>
      </c>
      <c r="AS1217" s="8">
        <v>17</v>
      </c>
      <c r="AT1217" s="8">
        <v>33</v>
      </c>
      <c r="AU1217" s="8">
        <v>8.5</v>
      </c>
      <c r="AV1217" s="8">
        <v>84</v>
      </c>
      <c r="AW1217" s="8">
        <v>74</v>
      </c>
      <c r="AX1217" s="8">
        <v>360</v>
      </c>
      <c r="AY1217" s="8" t="s">
        <v>64</v>
      </c>
      <c r="AZ1217" s="8" t="s">
        <v>37</v>
      </c>
      <c r="BA1217" s="7">
        <v>0</v>
      </c>
      <c r="BB1217" s="9">
        <v>109</v>
      </c>
      <c r="BC1217" s="8" t="s">
        <v>356</v>
      </c>
      <c r="BD1217" s="8">
        <v>2.2000000000000002</v>
      </c>
      <c r="BE1217" s="8">
        <v>2.1</v>
      </c>
      <c r="BF1217" s="8">
        <v>2.2999999999999998</v>
      </c>
      <c r="BG1217" s="8">
        <v>3.3</v>
      </c>
      <c r="BH1217" s="8">
        <v>5.3</v>
      </c>
      <c r="BI1217" s="8">
        <v>8.1</v>
      </c>
      <c r="BJ1217" s="8">
        <v>11.9</v>
      </c>
      <c r="BK1217" s="8">
        <v>12</v>
      </c>
      <c r="BL1217" s="8">
        <v>8.9</v>
      </c>
      <c r="BM1217" s="8">
        <v>5.3</v>
      </c>
      <c r="BN1217" s="8">
        <v>3.2</v>
      </c>
      <c r="BO1217" s="8">
        <v>2.5</v>
      </c>
      <c r="BP1217" s="7">
        <v>5.6</v>
      </c>
    </row>
    <row r="1218" spans="1:68" ht="14.25" customHeight="1">
      <c r="A1218" s="12">
        <v>561</v>
      </c>
      <c r="B1218" s="14">
        <v>62</v>
      </c>
      <c r="C1218" s="13" t="s">
        <v>30</v>
      </c>
      <c r="D1218" s="13" t="s">
        <v>237</v>
      </c>
      <c r="E1218" s="13" t="s">
        <v>353</v>
      </c>
      <c r="F1218" s="11">
        <v>-24.8</v>
      </c>
      <c r="G1218" s="11">
        <v>-21</v>
      </c>
      <c r="H1218" s="11">
        <v>-10.199999999999999</v>
      </c>
      <c r="I1218" s="11">
        <v>1.1000000000000001</v>
      </c>
      <c r="J1218" s="11">
        <v>8.6999999999999993</v>
      </c>
      <c r="K1218" s="11">
        <v>16</v>
      </c>
      <c r="L1218" s="11">
        <v>19.3</v>
      </c>
      <c r="M1218" s="11">
        <v>16.399999999999999</v>
      </c>
      <c r="N1218" s="11">
        <v>8.6999999999999993</v>
      </c>
      <c r="O1218" s="11">
        <v>-0.2</v>
      </c>
      <c r="P1218" s="11">
        <v>-12.4</v>
      </c>
      <c r="Q1218" s="11">
        <v>-21.4</v>
      </c>
      <c r="R1218" s="10">
        <v>-1.7</v>
      </c>
      <c r="S1218" s="12">
        <v>62</v>
      </c>
      <c r="T1218" s="8" t="s">
        <v>355</v>
      </c>
      <c r="U1218" s="11">
        <v>-46</v>
      </c>
      <c r="V1218" s="11">
        <v>-40</v>
      </c>
      <c r="W1218" s="11">
        <v>-40</v>
      </c>
      <c r="X1218" s="11">
        <v>-37</v>
      </c>
      <c r="Y1218" s="11">
        <v>-30</v>
      </c>
      <c r="Z1218" s="11">
        <v>-51</v>
      </c>
      <c r="AA1218" s="11">
        <v>11.1</v>
      </c>
      <c r="AB1218" s="11">
        <v>179</v>
      </c>
      <c r="AC1218" s="11">
        <v>-15</v>
      </c>
      <c r="AD1218" s="11">
        <v>237</v>
      </c>
      <c r="AE1218" s="11">
        <v>-10.4</v>
      </c>
      <c r="AF1218" s="11">
        <v>253</v>
      </c>
      <c r="AG1218" s="11">
        <v>-9.1999999999999993</v>
      </c>
      <c r="AH1218" s="11">
        <v>74</v>
      </c>
      <c r="AI1218" s="11">
        <v>68</v>
      </c>
      <c r="AJ1218" s="11">
        <v>36</v>
      </c>
      <c r="AK1218" s="11" t="s">
        <v>48</v>
      </c>
      <c r="AL1218" s="11">
        <v>2.8</v>
      </c>
      <c r="AM1218" s="10">
        <v>2.5</v>
      </c>
      <c r="AN1218" s="9">
        <v>62</v>
      </c>
      <c r="AO1218" s="8" t="s">
        <v>354</v>
      </c>
      <c r="AP1218" s="8">
        <v>950</v>
      </c>
      <c r="AQ1218" s="8">
        <v>23.5</v>
      </c>
      <c r="AR1218" s="8">
        <v>28</v>
      </c>
      <c r="AS1218" s="8">
        <v>25.9</v>
      </c>
      <c r="AT1218" s="8">
        <v>40</v>
      </c>
      <c r="AU1218" s="8">
        <v>13.2</v>
      </c>
      <c r="AV1218" s="8">
        <v>65</v>
      </c>
      <c r="AW1218" s="8">
        <v>47</v>
      </c>
      <c r="AX1218" s="8">
        <v>228</v>
      </c>
      <c r="AY1218" s="8">
        <v>92</v>
      </c>
      <c r="AZ1218" s="8" t="s">
        <v>54</v>
      </c>
      <c r="BA1218" s="7">
        <v>0</v>
      </c>
      <c r="BB1218" s="9">
        <v>48</v>
      </c>
      <c r="BC1218" s="8" t="s">
        <v>353</v>
      </c>
      <c r="BD1218" s="8">
        <v>0.8</v>
      </c>
      <c r="BE1218" s="8">
        <v>0.9</v>
      </c>
      <c r="BF1218" s="8">
        <v>2.1</v>
      </c>
      <c r="BG1218" s="8">
        <v>3.5</v>
      </c>
      <c r="BH1218" s="8">
        <v>5.5</v>
      </c>
      <c r="BI1218" s="8">
        <v>10.1</v>
      </c>
      <c r="BJ1218" s="8">
        <v>14</v>
      </c>
      <c r="BK1218" s="8">
        <v>12.7</v>
      </c>
      <c r="BL1218" s="8">
        <v>7.8</v>
      </c>
      <c r="BM1218" s="8">
        <v>4.0999999999999996</v>
      </c>
      <c r="BN1218" s="8">
        <v>2</v>
      </c>
      <c r="BO1218" s="8">
        <v>1.1000000000000001</v>
      </c>
      <c r="BP1218" s="7">
        <v>5.4</v>
      </c>
    </row>
    <row r="1219" spans="1:68" ht="14.25" customHeight="1">
      <c r="A1219" s="12">
        <v>562</v>
      </c>
      <c r="B1219" s="14">
        <v>344</v>
      </c>
      <c r="C1219" s="13" t="s">
        <v>30</v>
      </c>
      <c r="D1219" s="13" t="s">
        <v>352</v>
      </c>
      <c r="E1219" s="13" t="s">
        <v>349</v>
      </c>
      <c r="F1219" s="11">
        <v>-13.8</v>
      </c>
      <c r="G1219" s="11">
        <v>-13.2</v>
      </c>
      <c r="H1219" s="11">
        <v>-6.8</v>
      </c>
      <c r="I1219" s="11">
        <v>4.0999999999999996</v>
      </c>
      <c r="J1219" s="11">
        <v>12.6</v>
      </c>
      <c r="K1219" s="11">
        <v>17.600000000000001</v>
      </c>
      <c r="L1219" s="11">
        <v>19.600000000000001</v>
      </c>
      <c r="M1219" s="11">
        <v>17.600000000000001</v>
      </c>
      <c r="N1219" s="11">
        <v>11.4</v>
      </c>
      <c r="O1219" s="11">
        <v>3.8</v>
      </c>
      <c r="P1219" s="11">
        <v>-4.0999999999999996</v>
      </c>
      <c r="Q1219" s="11">
        <v>-10.4</v>
      </c>
      <c r="R1219" s="10">
        <v>3.2</v>
      </c>
      <c r="S1219" s="12">
        <v>344</v>
      </c>
      <c r="T1219" s="8" t="s">
        <v>351</v>
      </c>
      <c r="U1219" s="11">
        <v>-38</v>
      </c>
      <c r="V1219" s="11">
        <v>-36</v>
      </c>
      <c r="W1219" s="11">
        <v>-36</v>
      </c>
      <c r="X1219" s="11">
        <v>-31</v>
      </c>
      <c r="Y1219" s="11">
        <v>-19</v>
      </c>
      <c r="Z1219" s="11">
        <v>-48</v>
      </c>
      <c r="AA1219" s="11">
        <v>7.4</v>
      </c>
      <c r="AB1219" s="11">
        <v>155</v>
      </c>
      <c r="AC1219" s="11">
        <v>-8.9</v>
      </c>
      <c r="AD1219" s="11">
        <v>212</v>
      </c>
      <c r="AE1219" s="11">
        <v>-5.4</v>
      </c>
      <c r="AF1219" s="11">
        <v>228</v>
      </c>
      <c r="AG1219" s="11">
        <v>-4.4000000000000004</v>
      </c>
      <c r="AH1219" s="11">
        <v>82</v>
      </c>
      <c r="AI1219" s="11">
        <v>81</v>
      </c>
      <c r="AJ1219" s="11">
        <v>220</v>
      </c>
      <c r="AK1219" s="11" t="s">
        <v>44</v>
      </c>
      <c r="AL1219" s="11" t="s">
        <v>44</v>
      </c>
      <c r="AM1219" s="10" t="s">
        <v>44</v>
      </c>
      <c r="AN1219" s="9">
        <v>344</v>
      </c>
      <c r="AO1219" s="8" t="s">
        <v>350</v>
      </c>
      <c r="AP1219" s="8">
        <v>990</v>
      </c>
      <c r="AQ1219" s="8">
        <v>23.3</v>
      </c>
      <c r="AR1219" s="8">
        <v>27.4</v>
      </c>
      <c r="AS1219" s="8">
        <v>25.7</v>
      </c>
      <c r="AT1219" s="8">
        <v>40</v>
      </c>
      <c r="AU1219" s="8">
        <v>11.8</v>
      </c>
      <c r="AV1219" s="8">
        <v>66</v>
      </c>
      <c r="AW1219" s="8">
        <v>49</v>
      </c>
      <c r="AX1219" s="8">
        <v>328</v>
      </c>
      <c r="AY1219" s="8" t="s">
        <v>64</v>
      </c>
      <c r="AZ1219" s="8" t="s">
        <v>114</v>
      </c>
      <c r="BA1219" s="7" t="s">
        <v>46</v>
      </c>
      <c r="BB1219" s="9"/>
      <c r="BC1219" s="8" t="s">
        <v>349</v>
      </c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7"/>
    </row>
    <row r="1220" spans="1:68" ht="14.25" customHeight="1">
      <c r="A1220" s="12">
        <v>563</v>
      </c>
      <c r="B1220" s="14">
        <v>646</v>
      </c>
      <c r="C1220" s="13" t="s">
        <v>52</v>
      </c>
      <c r="D1220" s="13" t="s">
        <v>348</v>
      </c>
      <c r="E1220" s="13" t="s">
        <v>346</v>
      </c>
      <c r="F1220" s="11">
        <v>-5.7</v>
      </c>
      <c r="G1220" s="11">
        <v>-4.2</v>
      </c>
      <c r="H1220" s="11">
        <v>0.4</v>
      </c>
      <c r="I1220" s="11">
        <v>8.5</v>
      </c>
      <c r="J1220" s="11">
        <v>14.6</v>
      </c>
      <c r="K1220" s="11">
        <v>17.600000000000001</v>
      </c>
      <c r="L1220" s="11">
        <v>19</v>
      </c>
      <c r="M1220" s="11">
        <v>18.2</v>
      </c>
      <c r="N1220" s="11">
        <v>13.6</v>
      </c>
      <c r="O1220" s="11">
        <v>7.6</v>
      </c>
      <c r="P1220" s="11">
        <v>2.1</v>
      </c>
      <c r="Q1220" s="11">
        <v>-2.4</v>
      </c>
      <c r="R1220" s="10">
        <v>7.4</v>
      </c>
      <c r="S1220" s="12">
        <v>635</v>
      </c>
      <c r="T1220" s="8" t="s">
        <v>346</v>
      </c>
      <c r="U1220" s="11">
        <v>-29</v>
      </c>
      <c r="V1220" s="11">
        <v>-25</v>
      </c>
      <c r="W1220" s="11">
        <v>-23</v>
      </c>
      <c r="X1220" s="11">
        <v>-20</v>
      </c>
      <c r="Y1220" s="11">
        <v>-8</v>
      </c>
      <c r="Z1220" s="11">
        <v>-35</v>
      </c>
      <c r="AA1220" s="11" t="s">
        <v>49</v>
      </c>
      <c r="AB1220" s="11">
        <v>104</v>
      </c>
      <c r="AC1220" s="11">
        <v>-3.7</v>
      </c>
      <c r="AD1220" s="11">
        <v>178</v>
      </c>
      <c r="AE1220" s="11">
        <v>-0.6</v>
      </c>
      <c r="AF1220" s="11">
        <v>195</v>
      </c>
      <c r="AG1220" s="11">
        <v>0.2</v>
      </c>
      <c r="AH1220" s="11" t="s">
        <v>49</v>
      </c>
      <c r="AI1220" s="11" t="s">
        <v>49</v>
      </c>
      <c r="AJ1220" s="11">
        <v>220</v>
      </c>
      <c r="AK1220" s="11" t="s">
        <v>75</v>
      </c>
      <c r="AL1220" s="11" t="s">
        <v>44</v>
      </c>
      <c r="AM1220" s="10" t="s">
        <v>44</v>
      </c>
      <c r="AN1220" s="9">
        <v>636</v>
      </c>
      <c r="AO1220" s="8" t="s">
        <v>347</v>
      </c>
      <c r="AP1220" s="8">
        <v>990</v>
      </c>
      <c r="AQ1220" s="8">
        <v>29</v>
      </c>
      <c r="AR1220" s="8">
        <v>23</v>
      </c>
      <c r="AS1220" s="8">
        <v>24.8</v>
      </c>
      <c r="AT1220" s="8">
        <v>38</v>
      </c>
      <c r="AU1220" s="8" t="s">
        <v>46</v>
      </c>
      <c r="AV1220" s="8" t="s">
        <v>45</v>
      </c>
      <c r="AW1220" s="8" t="s">
        <v>44</v>
      </c>
      <c r="AX1220" s="8" t="s">
        <v>44</v>
      </c>
      <c r="AY1220" s="8">
        <v>155</v>
      </c>
      <c r="AZ1220" s="8" t="s">
        <v>54</v>
      </c>
      <c r="BA1220" s="7">
        <v>1.5</v>
      </c>
      <c r="BB1220" s="9"/>
      <c r="BC1220" s="8" t="s">
        <v>346</v>
      </c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7"/>
    </row>
    <row r="1221" spans="1:68" ht="14.25" customHeight="1">
      <c r="A1221" s="12">
        <v>564</v>
      </c>
      <c r="B1221" s="14">
        <v>225</v>
      </c>
      <c r="C1221" s="13" t="s">
        <v>30</v>
      </c>
      <c r="D1221" s="13" t="s">
        <v>61</v>
      </c>
      <c r="E1221" s="13" t="s">
        <v>343</v>
      </c>
      <c r="F1221" s="11">
        <v>-11</v>
      </c>
      <c r="G1221" s="11">
        <v>-11.9</v>
      </c>
      <c r="H1221" s="11">
        <v>-8</v>
      </c>
      <c r="I1221" s="11">
        <v>-1.9</v>
      </c>
      <c r="J1221" s="11">
        <v>3.9</v>
      </c>
      <c r="K1221" s="11">
        <v>10.5</v>
      </c>
      <c r="L1221" s="11">
        <v>14.3</v>
      </c>
      <c r="M1221" s="11">
        <v>12.6</v>
      </c>
      <c r="N1221" s="11">
        <v>7.4</v>
      </c>
      <c r="O1221" s="11">
        <v>1.3</v>
      </c>
      <c r="P1221" s="11">
        <v>-3.6</v>
      </c>
      <c r="Q1221" s="11">
        <v>-7.8</v>
      </c>
      <c r="R1221" s="10">
        <v>0.5</v>
      </c>
      <c r="S1221" s="12">
        <v>225</v>
      </c>
      <c r="T1221" s="8" t="s">
        <v>345</v>
      </c>
      <c r="U1221" s="11">
        <v>-37</v>
      </c>
      <c r="V1221" s="11">
        <v>-33</v>
      </c>
      <c r="W1221" s="11">
        <v>-34</v>
      </c>
      <c r="X1221" s="11">
        <v>-29</v>
      </c>
      <c r="Y1221" s="11">
        <v>-17</v>
      </c>
      <c r="Z1221" s="11">
        <v>-40</v>
      </c>
      <c r="AA1221" s="11">
        <v>7.1</v>
      </c>
      <c r="AB1221" s="11">
        <v>183</v>
      </c>
      <c r="AC1221" s="11">
        <v>-7.1</v>
      </c>
      <c r="AD1221" s="11">
        <v>265</v>
      </c>
      <c r="AE1221" s="11">
        <v>-3.7</v>
      </c>
      <c r="AF1221" s="11">
        <v>286</v>
      </c>
      <c r="AG1221" s="11">
        <v>-2.8</v>
      </c>
      <c r="AH1221" s="11">
        <v>86</v>
      </c>
      <c r="AI1221" s="11">
        <v>85</v>
      </c>
      <c r="AJ1221" s="11">
        <v>164</v>
      </c>
      <c r="AK1221" s="11" t="s">
        <v>56</v>
      </c>
      <c r="AL1221" s="11" t="s">
        <v>44</v>
      </c>
      <c r="AM1221" s="10">
        <v>4.5999999999999996</v>
      </c>
      <c r="AN1221" s="9">
        <v>225</v>
      </c>
      <c r="AO1221" s="8" t="s">
        <v>344</v>
      </c>
      <c r="AP1221" s="8">
        <v>1010</v>
      </c>
      <c r="AQ1221" s="8">
        <v>16.2</v>
      </c>
      <c r="AR1221" s="8">
        <v>20.8</v>
      </c>
      <c r="AS1221" s="8">
        <v>18.7</v>
      </c>
      <c r="AT1221" s="8">
        <v>32</v>
      </c>
      <c r="AU1221" s="8">
        <v>8.1999999999999993</v>
      </c>
      <c r="AV1221" s="8">
        <v>72</v>
      </c>
      <c r="AW1221" s="8">
        <v>62</v>
      </c>
      <c r="AX1221" s="8">
        <v>334</v>
      </c>
      <c r="AY1221" s="8">
        <v>67</v>
      </c>
      <c r="AZ1221" s="8" t="s">
        <v>25</v>
      </c>
      <c r="BA1221" s="7" t="s">
        <v>46</v>
      </c>
      <c r="BB1221" s="9">
        <v>200</v>
      </c>
      <c r="BC1221" s="8" t="s">
        <v>343</v>
      </c>
      <c r="BD1221" s="8">
        <v>2.6</v>
      </c>
      <c r="BE1221" s="8">
        <v>2.5</v>
      </c>
      <c r="BF1221" s="8">
        <v>3</v>
      </c>
      <c r="BG1221" s="8">
        <v>4.2</v>
      </c>
      <c r="BH1221" s="8">
        <v>5.7</v>
      </c>
      <c r="BI1221" s="8">
        <v>8.9</v>
      </c>
      <c r="BJ1221" s="8">
        <v>11.8</v>
      </c>
      <c r="BK1221" s="8">
        <v>11.8</v>
      </c>
      <c r="BL1221" s="8">
        <v>8.8000000000000007</v>
      </c>
      <c r="BM1221" s="8">
        <v>5.9</v>
      </c>
      <c r="BN1221" s="8">
        <v>4.5</v>
      </c>
      <c r="BO1221" s="8">
        <v>3.4</v>
      </c>
      <c r="BP1221" s="7">
        <v>6.2</v>
      </c>
    </row>
    <row r="1222" spans="1:68" ht="14.25" customHeight="1">
      <c r="A1222" s="12">
        <v>565</v>
      </c>
      <c r="B1222" s="14">
        <v>33</v>
      </c>
      <c r="C1222" s="13" t="s">
        <v>30</v>
      </c>
      <c r="D1222" s="13" t="s">
        <v>99</v>
      </c>
      <c r="E1222" s="13" t="s">
        <v>340</v>
      </c>
      <c r="F1222" s="11">
        <v>-30</v>
      </c>
      <c r="G1222" s="11">
        <v>-24.5</v>
      </c>
      <c r="H1222" s="11">
        <v>-15.9</v>
      </c>
      <c r="I1222" s="11">
        <v>-3.5</v>
      </c>
      <c r="J1222" s="11">
        <v>6.2</v>
      </c>
      <c r="K1222" s="11">
        <v>13.6</v>
      </c>
      <c r="L1222" s="11">
        <v>17.2</v>
      </c>
      <c r="M1222" s="11">
        <v>14.1</v>
      </c>
      <c r="N1222" s="11">
        <v>6.9</v>
      </c>
      <c r="O1222" s="11">
        <v>-5.0999999999999996</v>
      </c>
      <c r="P1222" s="11">
        <v>-20.2</v>
      </c>
      <c r="Q1222" s="11">
        <v>-28.3</v>
      </c>
      <c r="R1222" s="10">
        <v>-5.8</v>
      </c>
      <c r="S1222" s="12">
        <v>33</v>
      </c>
      <c r="T1222" s="8" t="s">
        <v>342</v>
      </c>
      <c r="U1222" s="11">
        <v>-48</v>
      </c>
      <c r="V1222" s="11">
        <v>-45</v>
      </c>
      <c r="W1222" s="11">
        <v>-44</v>
      </c>
      <c r="X1222" s="11">
        <v>-42</v>
      </c>
      <c r="Y1222" s="11">
        <v>-35</v>
      </c>
      <c r="Z1222" s="11">
        <v>-55</v>
      </c>
      <c r="AA1222" s="11">
        <v>16.100000000000001</v>
      </c>
      <c r="AB1222" s="11">
        <v>206</v>
      </c>
      <c r="AC1222" s="11">
        <v>-18.399999999999999</v>
      </c>
      <c r="AD1222" s="11">
        <v>255</v>
      </c>
      <c r="AE1222" s="11">
        <v>-14</v>
      </c>
      <c r="AF1222" s="11">
        <v>271</v>
      </c>
      <c r="AG1222" s="11">
        <v>-12.6</v>
      </c>
      <c r="AH1222" s="11">
        <v>67</v>
      </c>
      <c r="AI1222" s="11">
        <v>59</v>
      </c>
      <c r="AJ1222" s="11">
        <v>64</v>
      </c>
      <c r="AK1222" s="11" t="s">
        <v>75</v>
      </c>
      <c r="AL1222" s="11" t="s">
        <v>44</v>
      </c>
      <c r="AM1222" s="10" t="s">
        <v>44</v>
      </c>
      <c r="AN1222" s="9">
        <v>33</v>
      </c>
      <c r="AO1222" s="8" t="s">
        <v>341</v>
      </c>
      <c r="AP1222" s="8">
        <v>955</v>
      </c>
      <c r="AQ1222" s="8">
        <v>22.5</v>
      </c>
      <c r="AR1222" s="8">
        <v>26.6</v>
      </c>
      <c r="AS1222" s="8">
        <v>24.9</v>
      </c>
      <c r="AT1222" s="8">
        <v>36</v>
      </c>
      <c r="AU1222" s="8">
        <v>15.8</v>
      </c>
      <c r="AV1222" s="8">
        <v>77</v>
      </c>
      <c r="AW1222" s="8">
        <v>56</v>
      </c>
      <c r="AX1222" s="8">
        <v>558</v>
      </c>
      <c r="AY1222" s="8">
        <v>86</v>
      </c>
      <c r="AZ1222" s="8" t="s">
        <v>54</v>
      </c>
      <c r="BA1222" s="7" t="s">
        <v>46</v>
      </c>
      <c r="BB1222" s="9">
        <v>20</v>
      </c>
      <c r="BC1222" s="8" t="s">
        <v>340</v>
      </c>
      <c r="BD1222" s="8">
        <v>0.5</v>
      </c>
      <c r="BE1222" s="8">
        <v>0.6</v>
      </c>
      <c r="BF1222" s="8">
        <v>1.3</v>
      </c>
      <c r="BG1222" s="8">
        <v>2.9</v>
      </c>
      <c r="BH1222" s="8">
        <v>5.4</v>
      </c>
      <c r="BI1222" s="8">
        <v>10.5</v>
      </c>
      <c r="BJ1222" s="8">
        <v>14.7</v>
      </c>
      <c r="BK1222" s="8">
        <v>13.3</v>
      </c>
      <c r="BL1222" s="8">
        <v>7.6</v>
      </c>
      <c r="BM1222" s="8">
        <v>3.1</v>
      </c>
      <c r="BN1222" s="8">
        <v>1</v>
      </c>
      <c r="BO1222" s="8">
        <v>0.5</v>
      </c>
      <c r="BP1222" s="7">
        <v>5.0999999999999996</v>
      </c>
    </row>
    <row r="1223" spans="1:68" ht="14.25" customHeight="1">
      <c r="A1223" s="12">
        <v>566</v>
      </c>
      <c r="B1223" s="14">
        <v>517</v>
      </c>
      <c r="C1223" s="13" t="s">
        <v>121</v>
      </c>
      <c r="D1223" s="13" t="s">
        <v>339</v>
      </c>
      <c r="E1223" s="13" t="s">
        <v>337</v>
      </c>
      <c r="F1223" s="11">
        <v>-13.5</v>
      </c>
      <c r="G1223" s="11">
        <v>-13.2</v>
      </c>
      <c r="H1223" s="11">
        <v>-6.7</v>
      </c>
      <c r="I1223" s="11">
        <v>6.2</v>
      </c>
      <c r="J1223" s="11">
        <v>15.4</v>
      </c>
      <c r="K1223" s="11">
        <v>20.3</v>
      </c>
      <c r="L1223" s="11">
        <v>22.6</v>
      </c>
      <c r="M1223" s="11">
        <v>20.6</v>
      </c>
      <c r="N1223" s="11">
        <v>13.8</v>
      </c>
      <c r="O1223" s="11">
        <v>5.0999999999999996</v>
      </c>
      <c r="P1223" s="11">
        <v>-2.9</v>
      </c>
      <c r="Q1223" s="11">
        <v>-9.8000000000000007</v>
      </c>
      <c r="R1223" s="10">
        <v>4.8</v>
      </c>
      <c r="S1223" s="12">
        <v>517</v>
      </c>
      <c r="T1223" s="8" t="s">
        <v>337</v>
      </c>
      <c r="U1223" s="11">
        <v>-38</v>
      </c>
      <c r="V1223" s="11">
        <v>-36</v>
      </c>
      <c r="W1223" s="11">
        <v>-33</v>
      </c>
      <c r="X1223" s="11">
        <v>-30</v>
      </c>
      <c r="Y1223" s="11">
        <v>-19</v>
      </c>
      <c r="Z1223" s="11">
        <v>-43</v>
      </c>
      <c r="AA1223" s="11">
        <v>8.6</v>
      </c>
      <c r="AB1223" s="11">
        <v>148</v>
      </c>
      <c r="AC1223" s="11">
        <v>-9.4</v>
      </c>
      <c r="AD1223" s="11">
        <v>198</v>
      </c>
      <c r="AE1223" s="11">
        <v>-5.9</v>
      </c>
      <c r="AF1223" s="11">
        <v>209</v>
      </c>
      <c r="AG1223" s="11">
        <v>-5.0999999999999996</v>
      </c>
      <c r="AH1223" s="11" t="s">
        <v>49</v>
      </c>
      <c r="AI1223" s="11" t="s">
        <v>49</v>
      </c>
      <c r="AJ1223" s="11">
        <v>112</v>
      </c>
      <c r="AK1223" s="11" t="s">
        <v>27</v>
      </c>
      <c r="AL1223" s="11">
        <v>4.7</v>
      </c>
      <c r="AM1223" s="10">
        <v>3</v>
      </c>
      <c r="AN1223" s="9">
        <v>517</v>
      </c>
      <c r="AO1223" s="8" t="s">
        <v>338</v>
      </c>
      <c r="AP1223" s="8" t="s">
        <v>64</v>
      </c>
      <c r="AQ1223" s="8">
        <v>27.8</v>
      </c>
      <c r="AR1223" s="8">
        <v>31.7</v>
      </c>
      <c r="AS1223" s="8">
        <v>29.5</v>
      </c>
      <c r="AT1223" s="8">
        <v>42</v>
      </c>
      <c r="AU1223" s="8">
        <v>14.4</v>
      </c>
      <c r="AV1223" s="8" t="s">
        <v>45</v>
      </c>
      <c r="AW1223" s="8">
        <v>38</v>
      </c>
      <c r="AX1223" s="8">
        <v>195</v>
      </c>
      <c r="AY1223" s="8" t="s">
        <v>64</v>
      </c>
      <c r="AZ1223" s="8" t="s">
        <v>54</v>
      </c>
      <c r="BA1223" s="7">
        <v>2.6</v>
      </c>
      <c r="BB1223" s="9"/>
      <c r="BC1223" s="8" t="s">
        <v>337</v>
      </c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7"/>
    </row>
    <row r="1224" spans="1:68" ht="14.25" customHeight="1">
      <c r="A1224" s="12">
        <v>567</v>
      </c>
      <c r="B1224" s="14">
        <v>577</v>
      </c>
      <c r="C1224" s="13" t="s">
        <v>135</v>
      </c>
      <c r="D1224" s="13" t="s">
        <v>227</v>
      </c>
      <c r="E1224" s="13" t="s">
        <v>335</v>
      </c>
      <c r="F1224" s="11">
        <v>-1.8</v>
      </c>
      <c r="G1224" s="11">
        <v>0.1</v>
      </c>
      <c r="H1224" s="11">
        <v>4.9000000000000004</v>
      </c>
      <c r="I1224" s="11">
        <v>11.8</v>
      </c>
      <c r="J1224" s="11">
        <v>17.2</v>
      </c>
      <c r="K1224" s="11">
        <v>22.1</v>
      </c>
      <c r="L1224" s="11">
        <v>24.8</v>
      </c>
      <c r="M1224" s="11">
        <v>22.9</v>
      </c>
      <c r="N1224" s="11">
        <v>17.600000000000001</v>
      </c>
      <c r="O1224" s="11">
        <v>11.1</v>
      </c>
      <c r="P1224" s="11">
        <v>4.5999999999999996</v>
      </c>
      <c r="Q1224" s="11">
        <v>0.2</v>
      </c>
      <c r="R1224" s="10">
        <v>11.3</v>
      </c>
      <c r="S1224" s="15"/>
      <c r="T1224" s="8" t="s">
        <v>336</v>
      </c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7"/>
      <c r="AN1224" s="9"/>
      <c r="AO1224" s="8" t="s">
        <v>336</v>
      </c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7"/>
      <c r="BB1224" s="9"/>
      <c r="BC1224" s="8" t="s">
        <v>335</v>
      </c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7"/>
    </row>
    <row r="1225" spans="1:68" ht="14.25" customHeight="1">
      <c r="A1225" s="12">
        <v>568</v>
      </c>
      <c r="B1225" s="14">
        <v>606</v>
      </c>
      <c r="C1225" s="13" t="s">
        <v>117</v>
      </c>
      <c r="D1225" s="13" t="s">
        <v>334</v>
      </c>
      <c r="E1225" s="13" t="s">
        <v>332</v>
      </c>
      <c r="F1225" s="11">
        <v>-3.7</v>
      </c>
      <c r="G1225" s="11">
        <v>-2.2999999999999998</v>
      </c>
      <c r="H1225" s="11">
        <v>4.9000000000000004</v>
      </c>
      <c r="I1225" s="11">
        <v>14.4</v>
      </c>
      <c r="J1225" s="11">
        <v>21.6</v>
      </c>
      <c r="K1225" s="11">
        <v>26.4</v>
      </c>
      <c r="L1225" s="11">
        <v>28.2</v>
      </c>
      <c r="M1225" s="11">
        <v>25.7</v>
      </c>
      <c r="N1225" s="11">
        <v>19.399999999999999</v>
      </c>
      <c r="O1225" s="11">
        <v>11.4</v>
      </c>
      <c r="P1225" s="11">
        <v>3.8</v>
      </c>
      <c r="Q1225" s="11">
        <v>-1.6</v>
      </c>
      <c r="R1225" s="10">
        <v>12.4</v>
      </c>
      <c r="S1225" s="12">
        <v>595</v>
      </c>
      <c r="T1225" s="8" t="s">
        <v>332</v>
      </c>
      <c r="U1225" s="11">
        <v>-23</v>
      </c>
      <c r="V1225" s="11">
        <v>-21</v>
      </c>
      <c r="W1225" s="11">
        <v>-21</v>
      </c>
      <c r="X1225" s="11" t="s">
        <v>64</v>
      </c>
      <c r="Y1225" s="11">
        <v>-8</v>
      </c>
      <c r="Z1225" s="11">
        <v>-28</v>
      </c>
      <c r="AA1225" s="11">
        <v>8.8000000000000007</v>
      </c>
      <c r="AB1225" s="11">
        <v>79</v>
      </c>
      <c r="AC1225" s="11" t="s">
        <v>45</v>
      </c>
      <c r="AD1225" s="11">
        <v>148</v>
      </c>
      <c r="AE1225" s="11">
        <v>0.8</v>
      </c>
      <c r="AF1225" s="11" t="s">
        <v>114</v>
      </c>
      <c r="AG1225" s="11" t="s">
        <v>44</v>
      </c>
      <c r="AH1225" s="11" t="s">
        <v>49</v>
      </c>
      <c r="AI1225" s="11" t="s">
        <v>49</v>
      </c>
      <c r="AJ1225" s="11" t="s">
        <v>84</v>
      </c>
      <c r="AK1225" s="11" t="s">
        <v>44</v>
      </c>
      <c r="AL1225" s="11" t="s">
        <v>44</v>
      </c>
      <c r="AM1225" s="10">
        <v>4.5999999999999996</v>
      </c>
      <c r="AN1225" s="9">
        <v>596</v>
      </c>
      <c r="AO1225" s="8" t="s">
        <v>333</v>
      </c>
      <c r="AP1225" s="8">
        <v>1010</v>
      </c>
      <c r="AQ1225" s="8">
        <v>33.5</v>
      </c>
      <c r="AR1225" s="8">
        <v>37.6</v>
      </c>
      <c r="AS1225" s="8">
        <v>35.4</v>
      </c>
      <c r="AT1225" s="8">
        <v>45</v>
      </c>
      <c r="AU1225" s="8">
        <v>14.6</v>
      </c>
      <c r="AV1225" s="8" t="s">
        <v>45</v>
      </c>
      <c r="AW1225" s="8" t="s">
        <v>44</v>
      </c>
      <c r="AX1225" s="8" t="s">
        <v>44</v>
      </c>
      <c r="AY1225" s="8">
        <v>42</v>
      </c>
      <c r="AZ1225" s="8" t="s">
        <v>114</v>
      </c>
      <c r="BA1225" s="7">
        <v>0</v>
      </c>
      <c r="BB1225" s="9"/>
      <c r="BC1225" s="8" t="s">
        <v>332</v>
      </c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7"/>
    </row>
    <row r="1226" spans="1:68" ht="14.25" customHeight="1">
      <c r="A1226" s="12">
        <v>569</v>
      </c>
      <c r="B1226" s="14">
        <v>338</v>
      </c>
      <c r="C1226" s="13" t="s">
        <v>30</v>
      </c>
      <c r="D1226" s="13" t="s">
        <v>259</v>
      </c>
      <c r="E1226" s="13" t="s">
        <v>329</v>
      </c>
      <c r="F1226" s="11">
        <v>-26.4</v>
      </c>
      <c r="G1226" s="11">
        <v>-26.4</v>
      </c>
      <c r="H1226" s="11">
        <v>-19.2</v>
      </c>
      <c r="I1226" s="11">
        <v>-10.3</v>
      </c>
      <c r="J1226" s="11">
        <v>-2.6</v>
      </c>
      <c r="K1226" s="11">
        <v>8.4</v>
      </c>
      <c r="L1226" s="11">
        <v>15.4</v>
      </c>
      <c r="M1226" s="11">
        <v>11.3</v>
      </c>
      <c r="N1226" s="11">
        <v>5.2</v>
      </c>
      <c r="O1226" s="11">
        <v>-6.3</v>
      </c>
      <c r="P1226" s="11">
        <v>-18.2</v>
      </c>
      <c r="Q1226" s="11">
        <v>-24</v>
      </c>
      <c r="R1226" s="10">
        <v>-7.8</v>
      </c>
      <c r="S1226" s="12">
        <v>338</v>
      </c>
      <c r="T1226" s="8" t="s">
        <v>331</v>
      </c>
      <c r="U1226" s="11">
        <v>-53</v>
      </c>
      <c r="V1226" s="11">
        <v>-50</v>
      </c>
      <c r="W1226" s="11">
        <v>-49</v>
      </c>
      <c r="X1226" s="11">
        <v>-46</v>
      </c>
      <c r="Y1226" s="11">
        <v>-31</v>
      </c>
      <c r="Z1226" s="11">
        <v>-56</v>
      </c>
      <c r="AA1226" s="11">
        <v>9.9</v>
      </c>
      <c r="AB1226" s="11">
        <v>236</v>
      </c>
      <c r="AC1226" s="11">
        <v>-16.8</v>
      </c>
      <c r="AD1226" s="11">
        <v>286</v>
      </c>
      <c r="AE1226" s="11">
        <v>-13.1</v>
      </c>
      <c r="AF1226" s="11">
        <v>304</v>
      </c>
      <c r="AG1226" s="11">
        <v>-11.8</v>
      </c>
      <c r="AH1226" s="11">
        <v>78</v>
      </c>
      <c r="AI1226" s="11">
        <v>78</v>
      </c>
      <c r="AJ1226" s="11">
        <v>117</v>
      </c>
      <c r="AK1226" s="11" t="s">
        <v>39</v>
      </c>
      <c r="AL1226" s="11" t="s">
        <v>44</v>
      </c>
      <c r="AM1226" s="10" t="s">
        <v>44</v>
      </c>
      <c r="AN1226" s="9">
        <v>338</v>
      </c>
      <c r="AO1226" s="8" t="s">
        <v>330</v>
      </c>
      <c r="AP1226" s="8">
        <v>1010</v>
      </c>
      <c r="AQ1226" s="8">
        <v>18.3</v>
      </c>
      <c r="AR1226" s="8">
        <v>22.7</v>
      </c>
      <c r="AS1226" s="8">
        <v>20.7</v>
      </c>
      <c r="AT1226" s="8">
        <v>34</v>
      </c>
      <c r="AU1226" s="8">
        <v>10.4</v>
      </c>
      <c r="AV1226" s="8">
        <v>69</v>
      </c>
      <c r="AW1226" s="8">
        <v>56</v>
      </c>
      <c r="AX1226" s="8">
        <v>397</v>
      </c>
      <c r="AY1226" s="8" t="s">
        <v>64</v>
      </c>
      <c r="AZ1226" s="8" t="s">
        <v>32</v>
      </c>
      <c r="BA1226" s="7" t="s">
        <v>46</v>
      </c>
      <c r="BB1226" s="9">
        <v>306</v>
      </c>
      <c r="BC1226" s="8" t="s">
        <v>329</v>
      </c>
      <c r="BD1226" s="8">
        <v>0.8</v>
      </c>
      <c r="BE1226" s="8">
        <v>0.8</v>
      </c>
      <c r="BF1226" s="8">
        <v>1.4</v>
      </c>
      <c r="BG1226" s="8">
        <v>2.5</v>
      </c>
      <c r="BH1226" s="8">
        <v>4</v>
      </c>
      <c r="BI1226" s="8">
        <v>7.8</v>
      </c>
      <c r="BJ1226" s="8">
        <v>11.8</v>
      </c>
      <c r="BK1226" s="8">
        <v>10.4</v>
      </c>
      <c r="BL1226" s="8">
        <v>7.5</v>
      </c>
      <c r="BM1226" s="8">
        <v>3.7</v>
      </c>
      <c r="BN1226" s="8">
        <v>1.7</v>
      </c>
      <c r="BO1226" s="8">
        <v>1.1000000000000001</v>
      </c>
      <c r="BP1226" s="7">
        <v>4.5</v>
      </c>
    </row>
    <row r="1227" spans="1:68" ht="14.25" customHeight="1">
      <c r="A1227" s="12">
        <v>570</v>
      </c>
      <c r="B1227" s="14">
        <v>128</v>
      </c>
      <c r="C1227" s="13" t="s">
        <v>30</v>
      </c>
      <c r="D1227" s="13" t="s">
        <v>293</v>
      </c>
      <c r="E1227" s="13" t="s">
        <v>326</v>
      </c>
      <c r="F1227" s="11">
        <v>-16.8</v>
      </c>
      <c r="G1227" s="11">
        <v>-16.8</v>
      </c>
      <c r="H1227" s="11">
        <v>-13.3</v>
      </c>
      <c r="I1227" s="11">
        <v>-5.8</v>
      </c>
      <c r="J1227" s="11">
        <v>1.3</v>
      </c>
      <c r="K1227" s="11">
        <v>6.4</v>
      </c>
      <c r="L1227" s="11">
        <v>10</v>
      </c>
      <c r="M1227" s="11">
        <v>10.5</v>
      </c>
      <c r="N1227" s="11">
        <v>7.1</v>
      </c>
      <c r="O1227" s="11">
        <v>0.5</v>
      </c>
      <c r="P1227" s="11">
        <v>-7.7</v>
      </c>
      <c r="Q1227" s="11">
        <v>-13.7</v>
      </c>
      <c r="R1227" s="10">
        <v>-3.2</v>
      </c>
      <c r="S1227" s="12">
        <v>128</v>
      </c>
      <c r="T1227" s="8" t="s">
        <v>328</v>
      </c>
      <c r="U1227" s="11">
        <v>-42</v>
      </c>
      <c r="V1227" s="11">
        <v>-38</v>
      </c>
      <c r="W1227" s="11">
        <v>-37</v>
      </c>
      <c r="X1227" s="11">
        <v>-35</v>
      </c>
      <c r="Y1227" s="11">
        <v>-22</v>
      </c>
      <c r="Z1227" s="11">
        <v>-45</v>
      </c>
      <c r="AA1227" s="11">
        <v>10.1</v>
      </c>
      <c r="AB1227" s="11">
        <v>205</v>
      </c>
      <c r="AC1227" s="11">
        <v>-10.8</v>
      </c>
      <c r="AD1227" s="11">
        <v>295</v>
      </c>
      <c r="AE1227" s="11">
        <v>-6.2</v>
      </c>
      <c r="AF1227" s="11">
        <v>326</v>
      </c>
      <c r="AG1227" s="11">
        <v>-5</v>
      </c>
      <c r="AH1227" s="11">
        <v>83</v>
      </c>
      <c r="AI1227" s="11">
        <v>83</v>
      </c>
      <c r="AJ1227" s="11">
        <v>224</v>
      </c>
      <c r="AK1227" s="11" t="s">
        <v>27</v>
      </c>
      <c r="AL1227" s="11">
        <v>9.1</v>
      </c>
      <c r="AM1227" s="10" t="s">
        <v>44</v>
      </c>
      <c r="AN1227" s="9">
        <v>128</v>
      </c>
      <c r="AO1227" s="8" t="s">
        <v>327</v>
      </c>
      <c r="AP1227" s="8">
        <v>1010</v>
      </c>
      <c r="AQ1227" s="8">
        <v>11.3</v>
      </c>
      <c r="AR1227" s="8">
        <v>16</v>
      </c>
      <c r="AS1227" s="8">
        <v>13.7</v>
      </c>
      <c r="AT1227" s="8">
        <v>29</v>
      </c>
      <c r="AU1227" s="8">
        <v>6.4</v>
      </c>
      <c r="AV1227" s="8">
        <v>90</v>
      </c>
      <c r="AW1227" s="8">
        <v>85</v>
      </c>
      <c r="AX1227" s="8">
        <v>421</v>
      </c>
      <c r="AY1227" s="8">
        <v>65</v>
      </c>
      <c r="AZ1227" s="8" t="s">
        <v>32</v>
      </c>
      <c r="BA1227" s="7">
        <v>4.2</v>
      </c>
      <c r="BB1227" s="9">
        <v>111</v>
      </c>
      <c r="BC1227" s="8" t="s">
        <v>326</v>
      </c>
      <c r="BD1227" s="8">
        <v>1.8</v>
      </c>
      <c r="BE1227" s="8">
        <v>1.7</v>
      </c>
      <c r="BF1227" s="8">
        <v>2.1</v>
      </c>
      <c r="BG1227" s="8">
        <v>3.5</v>
      </c>
      <c r="BH1227" s="8">
        <v>5.6</v>
      </c>
      <c r="BI1227" s="8">
        <v>8.3000000000000007</v>
      </c>
      <c r="BJ1227" s="8">
        <v>10.9</v>
      </c>
      <c r="BK1227" s="8">
        <v>11.4</v>
      </c>
      <c r="BL1227" s="8">
        <v>8.8000000000000007</v>
      </c>
      <c r="BM1227" s="8">
        <v>5.4</v>
      </c>
      <c r="BN1227" s="8">
        <v>3.2</v>
      </c>
      <c r="BO1227" s="8">
        <v>2.2000000000000002</v>
      </c>
      <c r="BP1227" s="7">
        <v>5.4</v>
      </c>
    </row>
    <row r="1228" spans="1:68" ht="14.25" customHeight="1">
      <c r="A1228" s="12">
        <v>571</v>
      </c>
      <c r="B1228" s="14">
        <v>146</v>
      </c>
      <c r="C1228" s="13" t="s">
        <v>30</v>
      </c>
      <c r="D1228" s="13" t="s">
        <v>325</v>
      </c>
      <c r="E1228" s="13" t="s">
        <v>322</v>
      </c>
      <c r="F1228" s="11">
        <v>-22.1</v>
      </c>
      <c r="G1228" s="11">
        <v>-18</v>
      </c>
      <c r="H1228" s="11">
        <v>-10</v>
      </c>
      <c r="I1228" s="11">
        <v>-0.4</v>
      </c>
      <c r="J1228" s="11">
        <v>8.1</v>
      </c>
      <c r="K1228" s="11">
        <v>14.6</v>
      </c>
      <c r="L1228" s="11">
        <v>16.899999999999999</v>
      </c>
      <c r="M1228" s="11">
        <v>14.5</v>
      </c>
      <c r="N1228" s="11">
        <v>8.4</v>
      </c>
      <c r="O1228" s="11">
        <v>0.4</v>
      </c>
      <c r="P1228" s="11">
        <v>-10.5</v>
      </c>
      <c r="Q1228" s="11">
        <v>-19</v>
      </c>
      <c r="R1228" s="10">
        <v>-1.4</v>
      </c>
      <c r="S1228" s="12">
        <v>146</v>
      </c>
      <c r="T1228" s="8" t="s">
        <v>324</v>
      </c>
      <c r="U1228" s="11">
        <v>-46</v>
      </c>
      <c r="V1228" s="11">
        <v>-44</v>
      </c>
      <c r="W1228" s="11">
        <v>-43</v>
      </c>
      <c r="X1228" s="11">
        <v>-41</v>
      </c>
      <c r="Y1228" s="11">
        <v>-27</v>
      </c>
      <c r="Z1228" s="11">
        <v>-54</v>
      </c>
      <c r="AA1228" s="11">
        <v>13.8</v>
      </c>
      <c r="AB1228" s="11">
        <v>182</v>
      </c>
      <c r="AC1228" s="11">
        <v>-13.2</v>
      </c>
      <c r="AD1228" s="11">
        <v>241</v>
      </c>
      <c r="AE1228" s="11">
        <v>-9</v>
      </c>
      <c r="AF1228" s="11">
        <v>259</v>
      </c>
      <c r="AG1228" s="11">
        <v>-7.7</v>
      </c>
      <c r="AH1228" s="11">
        <v>80</v>
      </c>
      <c r="AI1228" s="11">
        <v>73</v>
      </c>
      <c r="AJ1228" s="11">
        <v>243</v>
      </c>
      <c r="AK1228" s="11" t="s">
        <v>48</v>
      </c>
      <c r="AL1228" s="11" t="s">
        <v>44</v>
      </c>
      <c r="AM1228" s="10" t="s">
        <v>44</v>
      </c>
      <c r="AN1228" s="9">
        <v>146</v>
      </c>
      <c r="AO1228" s="8" t="s">
        <v>323</v>
      </c>
      <c r="AP1228" s="8">
        <v>965</v>
      </c>
      <c r="AQ1228" s="8">
        <v>22.2</v>
      </c>
      <c r="AR1228" s="8">
        <v>26.4</v>
      </c>
      <c r="AS1228" s="8">
        <v>24.6</v>
      </c>
      <c r="AT1228" s="8">
        <v>37</v>
      </c>
      <c r="AU1228" s="8">
        <v>14.1</v>
      </c>
      <c r="AV1228" s="8">
        <v>78</v>
      </c>
      <c r="AW1228" s="8">
        <v>56</v>
      </c>
      <c r="AX1228" s="8">
        <v>621</v>
      </c>
      <c r="AY1228" s="8" t="s">
        <v>64</v>
      </c>
      <c r="AZ1228" s="8" t="s">
        <v>43</v>
      </c>
      <c r="BA1228" s="7" t="s">
        <v>46</v>
      </c>
      <c r="BB1228" s="9"/>
      <c r="BC1228" s="8" t="s">
        <v>322</v>
      </c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7"/>
    </row>
    <row r="1229" spans="1:68" ht="14.25" customHeight="1">
      <c r="A1229" s="12">
        <v>572</v>
      </c>
      <c r="B1229" s="14">
        <v>510</v>
      </c>
      <c r="C1229" s="13" t="s">
        <v>121</v>
      </c>
      <c r="D1229" s="13" t="s">
        <v>120</v>
      </c>
      <c r="E1229" s="13" t="s">
        <v>320</v>
      </c>
      <c r="F1229" s="11">
        <v>-16.5</v>
      </c>
      <c r="G1229" s="11">
        <v>-16</v>
      </c>
      <c r="H1229" s="11">
        <v>-7.8</v>
      </c>
      <c r="I1229" s="11">
        <v>4.8</v>
      </c>
      <c r="J1229" s="11">
        <v>13.4</v>
      </c>
      <c r="K1229" s="11">
        <v>18.7</v>
      </c>
      <c r="L1229" s="11">
        <v>20.7</v>
      </c>
      <c r="M1229" s="11">
        <v>18.3</v>
      </c>
      <c r="N1229" s="11">
        <v>12.4</v>
      </c>
      <c r="O1229" s="11">
        <v>5</v>
      </c>
      <c r="P1229" s="11">
        <v>-6.1</v>
      </c>
      <c r="Q1229" s="11">
        <v>-13.8</v>
      </c>
      <c r="R1229" s="10">
        <v>2.8</v>
      </c>
      <c r="S1229" s="12">
        <v>510</v>
      </c>
      <c r="T1229" s="8" t="s">
        <v>320</v>
      </c>
      <c r="U1229" s="11">
        <v>-46</v>
      </c>
      <c r="V1229" s="11">
        <v>-44</v>
      </c>
      <c r="W1229" s="11">
        <v>-42</v>
      </c>
      <c r="X1229" s="11">
        <v>-39</v>
      </c>
      <c r="Y1229" s="11" t="s">
        <v>49</v>
      </c>
      <c r="Z1229" s="11">
        <v>-49</v>
      </c>
      <c r="AA1229" s="11">
        <v>11.3</v>
      </c>
      <c r="AB1229" s="11">
        <v>154</v>
      </c>
      <c r="AC1229" s="11">
        <v>-11.8</v>
      </c>
      <c r="AD1229" s="11">
        <v>204</v>
      </c>
      <c r="AE1229" s="11">
        <v>-7.8</v>
      </c>
      <c r="AF1229" s="11">
        <v>219</v>
      </c>
      <c r="AG1229" s="11">
        <v>-6.6</v>
      </c>
      <c r="AH1229" s="11">
        <v>75</v>
      </c>
      <c r="AI1229" s="11" t="s">
        <v>49</v>
      </c>
      <c r="AJ1229" s="11">
        <v>166</v>
      </c>
      <c r="AK1229" s="11" t="s">
        <v>27</v>
      </c>
      <c r="AL1229" s="11">
        <v>5</v>
      </c>
      <c r="AM1229" s="10">
        <v>2.4</v>
      </c>
      <c r="AN1229" s="9">
        <v>510</v>
      </c>
      <c r="AO1229" s="8" t="s">
        <v>321</v>
      </c>
      <c r="AP1229" s="8" t="s">
        <v>64</v>
      </c>
      <c r="AQ1229" s="8" t="s">
        <v>45</v>
      </c>
      <c r="AR1229" s="8" t="s">
        <v>44</v>
      </c>
      <c r="AS1229" s="8">
        <v>28.2</v>
      </c>
      <c r="AT1229" s="8">
        <v>43</v>
      </c>
      <c r="AU1229" s="8">
        <v>14.6</v>
      </c>
      <c r="AV1229" s="8">
        <v>64</v>
      </c>
      <c r="AW1229" s="8" t="s">
        <v>44</v>
      </c>
      <c r="AX1229" s="8">
        <v>332</v>
      </c>
      <c r="AY1229" s="8" t="s">
        <v>64</v>
      </c>
      <c r="AZ1229" s="8" t="s">
        <v>54</v>
      </c>
      <c r="BA1229" s="7">
        <v>3.5</v>
      </c>
      <c r="BB1229" s="9"/>
      <c r="BC1229" s="8" t="s">
        <v>320</v>
      </c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7"/>
    </row>
    <row r="1230" spans="1:68" ht="14.25" customHeight="1">
      <c r="A1230" s="12">
        <v>573</v>
      </c>
      <c r="B1230" s="14">
        <v>129</v>
      </c>
      <c r="C1230" s="13" t="s">
        <v>30</v>
      </c>
      <c r="D1230" s="13" t="s">
        <v>293</v>
      </c>
      <c r="E1230" s="13" t="s">
        <v>317</v>
      </c>
      <c r="F1230" s="11">
        <v>-11.4</v>
      </c>
      <c r="G1230" s="11">
        <v>-11.2</v>
      </c>
      <c r="H1230" s="11">
        <v>-9</v>
      </c>
      <c r="I1230" s="11">
        <v>-3.6</v>
      </c>
      <c r="J1230" s="11">
        <v>1.6</v>
      </c>
      <c r="K1230" s="11">
        <v>6.8</v>
      </c>
      <c r="L1230" s="11">
        <v>11.2</v>
      </c>
      <c r="M1230" s="11">
        <v>12.2</v>
      </c>
      <c r="N1230" s="11">
        <v>9</v>
      </c>
      <c r="O1230" s="11">
        <v>2.6</v>
      </c>
      <c r="P1230" s="11">
        <v>-4.7</v>
      </c>
      <c r="Q1230" s="11">
        <v>-9.6999999999999993</v>
      </c>
      <c r="R1230" s="10">
        <v>-0.5</v>
      </c>
      <c r="S1230" s="12">
        <v>129</v>
      </c>
      <c r="T1230" s="8" t="s">
        <v>319</v>
      </c>
      <c r="U1230" s="11">
        <v>-37</v>
      </c>
      <c r="V1230" s="11">
        <v>-33</v>
      </c>
      <c r="W1230" s="11">
        <v>-30</v>
      </c>
      <c r="X1230" s="11">
        <v>-28</v>
      </c>
      <c r="Y1230" s="11">
        <v>-16</v>
      </c>
      <c r="Z1230" s="11">
        <v>-42</v>
      </c>
      <c r="AA1230" s="11">
        <v>8.3000000000000007</v>
      </c>
      <c r="AB1230" s="11">
        <v>192</v>
      </c>
      <c r="AC1230" s="11">
        <v>-7.6</v>
      </c>
      <c r="AD1230" s="11">
        <v>277</v>
      </c>
      <c r="AE1230" s="11">
        <v>-4</v>
      </c>
      <c r="AF1230" s="11">
        <v>305</v>
      </c>
      <c r="AG1230" s="11">
        <v>-2.8</v>
      </c>
      <c r="AH1230" s="11">
        <v>81</v>
      </c>
      <c r="AI1230" s="11">
        <v>80</v>
      </c>
      <c r="AJ1230" s="11">
        <v>664</v>
      </c>
      <c r="AK1230" s="11" t="s">
        <v>75</v>
      </c>
      <c r="AL1230" s="11">
        <v>7.1</v>
      </c>
      <c r="AM1230" s="10">
        <v>4.9000000000000004</v>
      </c>
      <c r="AN1230" s="9">
        <v>129</v>
      </c>
      <c r="AO1230" s="8" t="s">
        <v>318</v>
      </c>
      <c r="AP1230" s="8">
        <v>1010</v>
      </c>
      <c r="AQ1230" s="8">
        <v>13.2</v>
      </c>
      <c r="AR1230" s="8">
        <v>18</v>
      </c>
      <c r="AS1230" s="8">
        <v>15.6</v>
      </c>
      <c r="AT1230" s="8">
        <v>30</v>
      </c>
      <c r="AU1230" s="8">
        <v>6</v>
      </c>
      <c r="AV1230" s="8">
        <v>86</v>
      </c>
      <c r="AW1230" s="8">
        <v>77</v>
      </c>
      <c r="AX1230" s="8">
        <v>386</v>
      </c>
      <c r="AY1230" s="8">
        <v>58</v>
      </c>
      <c r="AZ1230" s="8" t="s">
        <v>151</v>
      </c>
      <c r="BA1230" s="7">
        <v>0</v>
      </c>
      <c r="BB1230" s="9">
        <v>112</v>
      </c>
      <c r="BC1230" s="8" t="s">
        <v>317</v>
      </c>
      <c r="BD1230" s="8">
        <v>2.6</v>
      </c>
      <c r="BE1230" s="8">
        <v>2.6</v>
      </c>
      <c r="BF1230" s="8">
        <v>2.8</v>
      </c>
      <c r="BG1230" s="8">
        <v>4</v>
      </c>
      <c r="BH1230" s="8">
        <v>5.9</v>
      </c>
      <c r="BI1230" s="8">
        <v>8.5</v>
      </c>
      <c r="BJ1230" s="8">
        <v>11.6</v>
      </c>
      <c r="BK1230" s="8">
        <v>12.2</v>
      </c>
      <c r="BL1230" s="8">
        <v>9.6</v>
      </c>
      <c r="BM1230" s="8">
        <v>5.7</v>
      </c>
      <c r="BN1230" s="8">
        <v>3.5</v>
      </c>
      <c r="BO1230" s="8">
        <v>2.8</v>
      </c>
      <c r="BP1230" s="7">
        <v>6</v>
      </c>
    </row>
    <row r="1231" spans="1:68" ht="14.25" customHeight="1">
      <c r="A1231" s="12">
        <v>574</v>
      </c>
      <c r="B1231" s="14">
        <v>442</v>
      </c>
      <c r="C1231" s="13" t="s">
        <v>30</v>
      </c>
      <c r="D1231" s="13" t="s">
        <v>57</v>
      </c>
      <c r="E1231" s="13" t="s">
        <v>315</v>
      </c>
      <c r="F1231" s="11">
        <v>-42.2</v>
      </c>
      <c r="G1231" s="11">
        <v>-36</v>
      </c>
      <c r="H1231" s="11">
        <v>-21.5</v>
      </c>
      <c r="I1231" s="11">
        <v>-6</v>
      </c>
      <c r="J1231" s="11">
        <v>6</v>
      </c>
      <c r="K1231" s="11">
        <v>14.4</v>
      </c>
      <c r="L1231" s="11">
        <v>18</v>
      </c>
      <c r="M1231" s="11">
        <v>14.5</v>
      </c>
      <c r="N1231" s="11">
        <v>6.3</v>
      </c>
      <c r="O1231" s="11">
        <v>-7.1</v>
      </c>
      <c r="P1231" s="11">
        <v>-27.2</v>
      </c>
      <c r="Q1231" s="11">
        <v>-39.5</v>
      </c>
      <c r="R1231" s="10">
        <v>-10</v>
      </c>
      <c r="S1231" s="12">
        <v>442</v>
      </c>
      <c r="T1231" s="8" t="s">
        <v>315</v>
      </c>
      <c r="U1231" s="11">
        <v>-58</v>
      </c>
      <c r="V1231" s="11">
        <v>-56</v>
      </c>
      <c r="W1231" s="11">
        <v>-57</v>
      </c>
      <c r="X1231" s="11">
        <v>-54</v>
      </c>
      <c r="Y1231" s="11">
        <v>-47</v>
      </c>
      <c r="Z1231" s="11">
        <v>-60</v>
      </c>
      <c r="AA1231" s="11">
        <v>8.8000000000000007</v>
      </c>
      <c r="AB1231" s="11">
        <v>213</v>
      </c>
      <c r="AC1231" s="11">
        <v>-25</v>
      </c>
      <c r="AD1231" s="11">
        <v>256</v>
      </c>
      <c r="AE1231" s="11">
        <v>-20.100000000000001</v>
      </c>
      <c r="AF1231" s="11">
        <v>271</v>
      </c>
      <c r="AG1231" s="11">
        <v>-18.5</v>
      </c>
      <c r="AH1231" s="11">
        <v>73</v>
      </c>
      <c r="AI1231" s="11">
        <v>73</v>
      </c>
      <c r="AJ1231" s="11">
        <v>65</v>
      </c>
      <c r="AK1231" s="11" t="s">
        <v>56</v>
      </c>
      <c r="AL1231" s="11">
        <v>2.2000000000000002</v>
      </c>
      <c r="AM1231" s="10">
        <v>1.5</v>
      </c>
      <c r="AN1231" s="9">
        <v>442</v>
      </c>
      <c r="AO1231" s="8" t="s">
        <v>316</v>
      </c>
      <c r="AP1231" s="8">
        <v>990</v>
      </c>
      <c r="AQ1231" s="8">
        <v>21.3</v>
      </c>
      <c r="AR1231" s="8">
        <v>25.9</v>
      </c>
      <c r="AS1231" s="8">
        <v>24.6</v>
      </c>
      <c r="AT1231" s="8">
        <v>36</v>
      </c>
      <c r="AU1231" s="8">
        <v>13.7</v>
      </c>
      <c r="AV1231" s="8">
        <v>67</v>
      </c>
      <c r="AW1231" s="8">
        <v>51</v>
      </c>
      <c r="AX1231" s="8">
        <v>237</v>
      </c>
      <c r="AY1231" s="8">
        <v>55</v>
      </c>
      <c r="AZ1231" s="8" t="s">
        <v>151</v>
      </c>
      <c r="BA1231" s="7">
        <v>0</v>
      </c>
      <c r="BB1231" s="9">
        <v>404</v>
      </c>
      <c r="BC1231" s="8" t="s">
        <v>315</v>
      </c>
      <c r="BD1231" s="8">
        <v>0.2</v>
      </c>
      <c r="BE1231" s="8">
        <v>0.3</v>
      </c>
      <c r="BF1231" s="8">
        <v>0.9</v>
      </c>
      <c r="BG1231" s="8">
        <v>2.5</v>
      </c>
      <c r="BH1231" s="8">
        <v>5.0999999999999996</v>
      </c>
      <c r="BI1231" s="8">
        <v>9.8000000000000007</v>
      </c>
      <c r="BJ1231" s="8">
        <v>13.4</v>
      </c>
      <c r="BK1231" s="8">
        <v>11.9</v>
      </c>
      <c r="BL1231" s="8">
        <v>7</v>
      </c>
      <c r="BM1231" s="8">
        <v>3</v>
      </c>
      <c r="BN1231" s="8">
        <v>0.7</v>
      </c>
      <c r="BO1231" s="8">
        <v>0.2</v>
      </c>
      <c r="BP1231" s="7">
        <v>4.5999999999999996</v>
      </c>
    </row>
    <row r="1232" spans="1:68" ht="14.25" customHeight="1">
      <c r="A1232" s="12">
        <v>575</v>
      </c>
      <c r="B1232" s="14">
        <v>443</v>
      </c>
      <c r="C1232" s="13" t="s">
        <v>30</v>
      </c>
      <c r="D1232" s="13" t="s">
        <v>57</v>
      </c>
      <c r="E1232" s="13" t="s">
        <v>313</v>
      </c>
      <c r="F1232" s="11">
        <v>-39.6</v>
      </c>
      <c r="G1232" s="11">
        <v>-34.200000000000003</v>
      </c>
      <c r="H1232" s="11">
        <v>-21</v>
      </c>
      <c r="I1232" s="11">
        <v>-5.2</v>
      </c>
      <c r="J1232" s="11">
        <v>6.1</v>
      </c>
      <c r="K1232" s="11">
        <v>13.9</v>
      </c>
      <c r="L1232" s="11">
        <v>17.2</v>
      </c>
      <c r="M1232" s="11">
        <v>13.9</v>
      </c>
      <c r="N1232" s="11">
        <v>5.5</v>
      </c>
      <c r="O1232" s="11">
        <v>-7.3</v>
      </c>
      <c r="P1232" s="11">
        <v>-27</v>
      </c>
      <c r="Q1232" s="11">
        <v>-37.700000000000003</v>
      </c>
      <c r="R1232" s="10">
        <v>-9.6</v>
      </c>
      <c r="S1232" s="12">
        <v>443</v>
      </c>
      <c r="T1232" s="8" t="s">
        <v>313</v>
      </c>
      <c r="U1232" s="11">
        <v>-55</v>
      </c>
      <c r="V1232" s="11">
        <v>-54</v>
      </c>
      <c r="W1232" s="11">
        <v>-54</v>
      </c>
      <c r="X1232" s="11">
        <v>-51</v>
      </c>
      <c r="Y1232" s="11">
        <v>-45</v>
      </c>
      <c r="Z1232" s="11">
        <v>-59</v>
      </c>
      <c r="AA1232" s="11">
        <v>10.4</v>
      </c>
      <c r="AB1232" s="11">
        <v>213</v>
      </c>
      <c r="AC1232" s="11">
        <v>-24</v>
      </c>
      <c r="AD1232" s="11">
        <v>259</v>
      </c>
      <c r="AE1232" s="11">
        <v>-18.899999999999999</v>
      </c>
      <c r="AF1232" s="11">
        <v>274</v>
      </c>
      <c r="AG1232" s="11">
        <v>-17.399999999999999</v>
      </c>
      <c r="AH1232" s="11">
        <v>75</v>
      </c>
      <c r="AI1232" s="11">
        <v>74</v>
      </c>
      <c r="AJ1232" s="11">
        <v>68</v>
      </c>
      <c r="AK1232" s="11" t="s">
        <v>66</v>
      </c>
      <c r="AL1232" s="11" t="s">
        <v>44</v>
      </c>
      <c r="AM1232" s="10">
        <v>1.1000000000000001</v>
      </c>
      <c r="AN1232" s="9">
        <v>443</v>
      </c>
      <c r="AO1232" s="8" t="s">
        <v>314</v>
      </c>
      <c r="AP1232" s="8">
        <v>985</v>
      </c>
      <c r="AQ1232" s="8">
        <v>22.6</v>
      </c>
      <c r="AR1232" s="8">
        <v>26.8</v>
      </c>
      <c r="AS1232" s="8">
        <v>25</v>
      </c>
      <c r="AT1232" s="8">
        <v>38</v>
      </c>
      <c r="AU1232" s="8">
        <v>16.399999999999999</v>
      </c>
      <c r="AV1232" s="8">
        <v>73</v>
      </c>
      <c r="AW1232" s="8">
        <v>56</v>
      </c>
      <c r="AX1232" s="8">
        <v>257</v>
      </c>
      <c r="AY1232" s="8" t="s">
        <v>64</v>
      </c>
      <c r="AZ1232" s="8" t="s">
        <v>63</v>
      </c>
      <c r="BA1232" s="7" t="s">
        <v>46</v>
      </c>
      <c r="BB1232" s="9">
        <v>405</v>
      </c>
      <c r="BC1232" s="8" t="s">
        <v>313</v>
      </c>
      <c r="BD1232" s="8">
        <v>0.2</v>
      </c>
      <c r="BE1232" s="8">
        <v>0.3</v>
      </c>
      <c r="BF1232" s="8">
        <v>1.2</v>
      </c>
      <c r="BG1232" s="8">
        <v>2.6</v>
      </c>
      <c r="BH1232" s="8">
        <v>5.4</v>
      </c>
      <c r="BI1232" s="8">
        <v>10.1</v>
      </c>
      <c r="BJ1232" s="8">
        <v>13.9</v>
      </c>
      <c r="BK1232" s="8">
        <v>12.4</v>
      </c>
      <c r="BL1232" s="8">
        <v>7</v>
      </c>
      <c r="BM1232" s="8">
        <v>3</v>
      </c>
      <c r="BN1232" s="8">
        <v>0.8</v>
      </c>
      <c r="BO1232" s="8">
        <v>0.3</v>
      </c>
      <c r="BP1232" s="7">
        <v>4.8</v>
      </c>
    </row>
    <row r="1233" spans="1:68" ht="14.25" customHeight="1">
      <c r="A1233" s="12">
        <v>576</v>
      </c>
      <c r="B1233" s="14">
        <v>444</v>
      </c>
      <c r="C1233" s="13" t="s">
        <v>30</v>
      </c>
      <c r="D1233" s="13" t="s">
        <v>57</v>
      </c>
      <c r="E1233" s="13" t="s">
        <v>311</v>
      </c>
      <c r="F1233" s="11">
        <v>-44.9</v>
      </c>
      <c r="G1233" s="11">
        <v>-41</v>
      </c>
      <c r="H1233" s="11">
        <v>-29</v>
      </c>
      <c r="I1233" s="11">
        <v>-13.2</v>
      </c>
      <c r="J1233" s="11">
        <v>3.1</v>
      </c>
      <c r="K1233" s="11">
        <v>12.9</v>
      </c>
      <c r="L1233" s="11">
        <v>14.8</v>
      </c>
      <c r="M1233" s="11">
        <v>11.1</v>
      </c>
      <c r="N1233" s="11">
        <v>2.5</v>
      </c>
      <c r="O1233" s="11">
        <v>-15</v>
      </c>
      <c r="P1233" s="11">
        <v>-34.9</v>
      </c>
      <c r="Q1233" s="11">
        <v>-43</v>
      </c>
      <c r="R1233" s="10">
        <v>-14.7</v>
      </c>
      <c r="S1233" s="12">
        <v>444</v>
      </c>
      <c r="T1233" s="8" t="s">
        <v>311</v>
      </c>
      <c r="U1233" s="11">
        <v>-62</v>
      </c>
      <c r="V1233" s="11">
        <v>-60</v>
      </c>
      <c r="W1233" s="11">
        <v>-59</v>
      </c>
      <c r="X1233" s="11">
        <v>-58</v>
      </c>
      <c r="Y1233" s="11">
        <v>-50</v>
      </c>
      <c r="Z1233" s="11">
        <v>-62</v>
      </c>
      <c r="AA1233" s="11">
        <v>9.3000000000000007</v>
      </c>
      <c r="AB1233" s="11">
        <v>232</v>
      </c>
      <c r="AC1233" s="11">
        <v>-23.4</v>
      </c>
      <c r="AD1233" s="11">
        <v>277</v>
      </c>
      <c r="AE1233" s="11">
        <v>-23.1</v>
      </c>
      <c r="AF1233" s="11">
        <v>291</v>
      </c>
      <c r="AG1233" s="11">
        <v>-21.6</v>
      </c>
      <c r="AH1233" s="11">
        <v>76</v>
      </c>
      <c r="AI1233" s="11">
        <v>76</v>
      </c>
      <c r="AJ1233" s="11">
        <v>46</v>
      </c>
      <c r="AK1233" s="11" t="s">
        <v>27</v>
      </c>
      <c r="AL1233" s="11">
        <v>3.8</v>
      </c>
      <c r="AM1233" s="10">
        <v>1</v>
      </c>
      <c r="AN1233" s="9">
        <v>444</v>
      </c>
      <c r="AO1233" s="8" t="s">
        <v>312</v>
      </c>
      <c r="AP1233" s="8">
        <v>985</v>
      </c>
      <c r="AQ1233" s="8">
        <v>19.399999999999999</v>
      </c>
      <c r="AR1233" s="8">
        <v>23.7</v>
      </c>
      <c r="AS1233" s="8">
        <v>21.8</v>
      </c>
      <c r="AT1233" s="8">
        <v>36</v>
      </c>
      <c r="AU1233" s="8">
        <v>14.3</v>
      </c>
      <c r="AV1233" s="8">
        <v>66</v>
      </c>
      <c r="AW1233" s="8">
        <v>53</v>
      </c>
      <c r="AX1233" s="8">
        <v>166</v>
      </c>
      <c r="AY1233" s="8">
        <v>37</v>
      </c>
      <c r="AZ1233" s="8" t="s">
        <v>54</v>
      </c>
      <c r="BA1233" s="7">
        <v>0</v>
      </c>
      <c r="BB1233" s="9">
        <v>406</v>
      </c>
      <c r="BC1233" s="8" t="s">
        <v>311</v>
      </c>
      <c r="BD1233" s="8">
        <v>0.1</v>
      </c>
      <c r="BE1233" s="8">
        <v>0.2</v>
      </c>
      <c r="BF1233" s="8">
        <v>0.5</v>
      </c>
      <c r="BG1233" s="8">
        <v>1.6</v>
      </c>
      <c r="BH1233" s="8">
        <v>4.4000000000000004</v>
      </c>
      <c r="BI1233" s="8">
        <v>8.4</v>
      </c>
      <c r="BJ1233" s="8">
        <v>10.7</v>
      </c>
      <c r="BK1233" s="8">
        <v>9.3000000000000007</v>
      </c>
      <c r="BL1233" s="8">
        <v>5.4</v>
      </c>
      <c r="BM1233" s="8">
        <v>1.9</v>
      </c>
      <c r="BN1233" s="8">
        <v>0.4</v>
      </c>
      <c r="BO1233" s="8">
        <v>0.2</v>
      </c>
      <c r="BP1233" s="7">
        <v>3.6</v>
      </c>
    </row>
    <row r="1234" spans="1:68" ht="14.25" customHeight="1">
      <c r="A1234" s="12">
        <v>577</v>
      </c>
      <c r="B1234" s="14">
        <v>34</v>
      </c>
      <c r="C1234" s="13" t="s">
        <v>30</v>
      </c>
      <c r="D1234" s="13" t="s">
        <v>99</v>
      </c>
      <c r="E1234" s="13" t="s">
        <v>308</v>
      </c>
      <c r="F1234" s="11">
        <v>-32.299999999999997</v>
      </c>
      <c r="G1234" s="11">
        <v>-26.4</v>
      </c>
      <c r="H1234" s="11">
        <v>-15.2</v>
      </c>
      <c r="I1234" s="11">
        <v>-3.1</v>
      </c>
      <c r="J1234" s="11">
        <v>6.5</v>
      </c>
      <c r="K1234" s="11">
        <v>14.3</v>
      </c>
      <c r="L1234" s="11">
        <v>17.600000000000001</v>
      </c>
      <c r="M1234" s="11">
        <v>14.3</v>
      </c>
      <c r="N1234" s="11">
        <v>6.8</v>
      </c>
      <c r="O1234" s="11">
        <v>-4.9000000000000004</v>
      </c>
      <c r="P1234" s="11">
        <v>-21.2</v>
      </c>
      <c r="Q1234" s="11">
        <v>-31.1</v>
      </c>
      <c r="R1234" s="10">
        <v>-6.2</v>
      </c>
      <c r="S1234" s="12">
        <v>34</v>
      </c>
      <c r="T1234" s="8" t="s">
        <v>310</v>
      </c>
      <c r="U1234" s="11">
        <v>-47</v>
      </c>
      <c r="V1234" s="11">
        <v>-46</v>
      </c>
      <c r="W1234" s="11">
        <v>-45</v>
      </c>
      <c r="X1234" s="11">
        <v>-44</v>
      </c>
      <c r="Y1234" s="11">
        <v>-37</v>
      </c>
      <c r="Z1234" s="11">
        <v>-51</v>
      </c>
      <c r="AA1234" s="11">
        <v>8.1999999999999993</v>
      </c>
      <c r="AB1234" s="11">
        <v>204</v>
      </c>
      <c r="AC1234" s="11">
        <v>-19.5</v>
      </c>
      <c r="AD1234" s="11">
        <v>253</v>
      </c>
      <c r="AE1234" s="11">
        <v>-14.9</v>
      </c>
      <c r="AF1234" s="11">
        <v>269</v>
      </c>
      <c r="AG1234" s="11">
        <v>-13.5</v>
      </c>
      <c r="AH1234" s="11">
        <v>76</v>
      </c>
      <c r="AI1234" s="11">
        <v>72</v>
      </c>
      <c r="AJ1234" s="11">
        <v>54</v>
      </c>
      <c r="AK1234" s="11" t="s">
        <v>56</v>
      </c>
      <c r="AL1234" s="11">
        <v>4.3</v>
      </c>
      <c r="AM1234" s="10">
        <v>1.6</v>
      </c>
      <c r="AN1234" s="9">
        <v>34</v>
      </c>
      <c r="AO1234" s="8" t="s">
        <v>309</v>
      </c>
      <c r="AP1234" s="8">
        <v>955</v>
      </c>
      <c r="AQ1234" s="8">
        <v>22.9</v>
      </c>
      <c r="AR1234" s="8">
        <v>27</v>
      </c>
      <c r="AS1234" s="8">
        <v>25.3</v>
      </c>
      <c r="AT1234" s="8">
        <v>37</v>
      </c>
      <c r="AU1234" s="8">
        <v>14</v>
      </c>
      <c r="AV1234" s="8">
        <v>72</v>
      </c>
      <c r="AW1234" s="8">
        <v>52</v>
      </c>
      <c r="AX1234" s="8">
        <v>402</v>
      </c>
      <c r="AY1234" s="8">
        <v>128</v>
      </c>
      <c r="AZ1234" s="8" t="s">
        <v>37</v>
      </c>
      <c r="BA1234" s="7">
        <v>0</v>
      </c>
      <c r="BB1234" s="9">
        <v>21</v>
      </c>
      <c r="BC1234" s="8" t="s">
        <v>308</v>
      </c>
      <c r="BD1234" s="8">
        <v>0.4</v>
      </c>
      <c r="BE1234" s="8">
        <v>0.6</v>
      </c>
      <c r="BF1234" s="8">
        <v>1.3</v>
      </c>
      <c r="BG1234" s="8">
        <v>2.8</v>
      </c>
      <c r="BH1234" s="8">
        <v>5.2</v>
      </c>
      <c r="BI1234" s="8">
        <v>10.3</v>
      </c>
      <c r="BJ1234" s="8">
        <v>14.3</v>
      </c>
      <c r="BK1234" s="8">
        <v>12.7</v>
      </c>
      <c r="BL1234" s="8">
        <v>7.3</v>
      </c>
      <c r="BM1234" s="8">
        <v>3.1</v>
      </c>
      <c r="BN1234" s="8">
        <v>1</v>
      </c>
      <c r="BO1234" s="8">
        <v>0.4</v>
      </c>
      <c r="BP1234" s="7">
        <v>5</v>
      </c>
    </row>
    <row r="1235" spans="1:68" ht="14.25" customHeight="1">
      <c r="A1235" s="12">
        <v>578</v>
      </c>
      <c r="B1235" s="14">
        <v>321</v>
      </c>
      <c r="C1235" s="13" t="s">
        <v>30</v>
      </c>
      <c r="D1235" s="13" t="s">
        <v>307</v>
      </c>
      <c r="E1235" s="13" t="s">
        <v>304</v>
      </c>
      <c r="F1235" s="11">
        <v>-21.5</v>
      </c>
      <c r="G1235" s="11">
        <v>-19.3</v>
      </c>
      <c r="H1235" s="11">
        <v>-11</v>
      </c>
      <c r="I1235" s="11">
        <v>-0.9</v>
      </c>
      <c r="J1235" s="11">
        <v>6.7</v>
      </c>
      <c r="K1235" s="11">
        <v>15</v>
      </c>
      <c r="L1235" s="11">
        <v>18.100000000000001</v>
      </c>
      <c r="M1235" s="11">
        <v>14.1</v>
      </c>
      <c r="N1235" s="11">
        <v>7.9</v>
      </c>
      <c r="O1235" s="11">
        <v>-0.9</v>
      </c>
      <c r="P1235" s="11">
        <v>-12.9</v>
      </c>
      <c r="Q1235" s="11">
        <v>-20.100000000000001</v>
      </c>
      <c r="R1235" s="10">
        <v>-2.1</v>
      </c>
      <c r="S1235" s="12">
        <v>321</v>
      </c>
      <c r="T1235" s="8" t="s">
        <v>306</v>
      </c>
      <c r="U1235" s="11">
        <v>-48</v>
      </c>
      <c r="V1235" s="11">
        <v>-47</v>
      </c>
      <c r="W1235" s="11">
        <v>-46</v>
      </c>
      <c r="X1235" s="11">
        <v>-43</v>
      </c>
      <c r="Y1235" s="11">
        <v>-27</v>
      </c>
      <c r="Z1235" s="11">
        <v>-51</v>
      </c>
      <c r="AA1235" s="11">
        <v>9.8000000000000007</v>
      </c>
      <c r="AB1235" s="11">
        <v>188</v>
      </c>
      <c r="AC1235" s="11">
        <v>-13.8</v>
      </c>
      <c r="AD1235" s="11">
        <v>248</v>
      </c>
      <c r="AE1235" s="11">
        <v>-9.5</v>
      </c>
      <c r="AF1235" s="11">
        <v>265</v>
      </c>
      <c r="AG1235" s="11">
        <v>-8.3000000000000007</v>
      </c>
      <c r="AH1235" s="11">
        <v>81</v>
      </c>
      <c r="AI1235" s="11">
        <v>79</v>
      </c>
      <c r="AJ1235" s="11">
        <v>155</v>
      </c>
      <c r="AK1235" s="11" t="s">
        <v>39</v>
      </c>
      <c r="AL1235" s="11">
        <v>3.6</v>
      </c>
      <c r="AM1235" s="10" t="s">
        <v>44</v>
      </c>
      <c r="AN1235" s="9">
        <v>321</v>
      </c>
      <c r="AO1235" s="8" t="s">
        <v>305</v>
      </c>
      <c r="AP1235" s="8">
        <v>995</v>
      </c>
      <c r="AQ1235" s="8">
        <v>22</v>
      </c>
      <c r="AR1235" s="8">
        <v>26.2</v>
      </c>
      <c r="AS1235" s="8">
        <v>24.4</v>
      </c>
      <c r="AT1235" s="8">
        <v>36</v>
      </c>
      <c r="AU1235" s="8">
        <v>12.4</v>
      </c>
      <c r="AV1235" s="8">
        <v>72</v>
      </c>
      <c r="AW1235" s="8">
        <v>55</v>
      </c>
      <c r="AX1235" s="8">
        <v>421</v>
      </c>
      <c r="AY1235" s="8">
        <v>96</v>
      </c>
      <c r="AZ1235" s="8" t="s">
        <v>82</v>
      </c>
      <c r="BA1235" s="7">
        <v>0</v>
      </c>
      <c r="BB1235" s="9">
        <v>289</v>
      </c>
      <c r="BC1235" s="8" t="s">
        <v>304</v>
      </c>
      <c r="BD1235" s="8">
        <v>1.2</v>
      </c>
      <c r="BE1235" s="8">
        <v>1.3</v>
      </c>
      <c r="BF1235" s="8">
        <v>2.2000000000000002</v>
      </c>
      <c r="BG1235" s="8">
        <v>3.8</v>
      </c>
      <c r="BH1235" s="8">
        <v>6.1</v>
      </c>
      <c r="BI1235" s="8">
        <v>11</v>
      </c>
      <c r="BJ1235" s="8">
        <v>14.5</v>
      </c>
      <c r="BK1235" s="8">
        <v>12.7</v>
      </c>
      <c r="BL1235" s="8">
        <v>8.6</v>
      </c>
      <c r="BM1235" s="8">
        <v>4.9000000000000004</v>
      </c>
      <c r="BN1235" s="8">
        <v>2.4</v>
      </c>
      <c r="BO1235" s="8">
        <v>1.5</v>
      </c>
      <c r="BP1235" s="7">
        <v>5.9</v>
      </c>
    </row>
    <row r="1236" spans="1:68" ht="14.25" customHeight="1">
      <c r="A1236" s="12">
        <v>579</v>
      </c>
      <c r="B1236" s="14">
        <v>398</v>
      </c>
      <c r="C1236" s="13" t="s">
        <v>30</v>
      </c>
      <c r="D1236" s="13" t="s">
        <v>80</v>
      </c>
      <c r="E1236" s="13" t="s">
        <v>301</v>
      </c>
      <c r="F1236" s="11">
        <v>-35.6</v>
      </c>
      <c r="G1236" s="11">
        <v>-34.1</v>
      </c>
      <c r="H1236" s="11">
        <v>-26.5</v>
      </c>
      <c r="I1236" s="11">
        <v>-13.7</v>
      </c>
      <c r="J1236" s="11">
        <v>1.7</v>
      </c>
      <c r="K1236" s="11">
        <v>11.8</v>
      </c>
      <c r="L1236" s="11">
        <v>12.8</v>
      </c>
      <c r="M1236" s="11">
        <v>9.3000000000000007</v>
      </c>
      <c r="N1236" s="11">
        <v>2.2999999999999998</v>
      </c>
      <c r="O1236" s="11">
        <v>-11.7</v>
      </c>
      <c r="P1236" s="11">
        <v>-27.3</v>
      </c>
      <c r="Q1236" s="11">
        <v>-34.799999999999997</v>
      </c>
      <c r="R1236" s="10">
        <v>-12.2</v>
      </c>
      <c r="S1236" s="12">
        <v>398</v>
      </c>
      <c r="T1236" s="8" t="s">
        <v>303</v>
      </c>
      <c r="U1236" s="11">
        <v>-57</v>
      </c>
      <c r="V1236" s="11">
        <v>-54</v>
      </c>
      <c r="W1236" s="11">
        <v>-55</v>
      </c>
      <c r="X1236" s="11">
        <v>-51</v>
      </c>
      <c r="Y1236" s="11">
        <v>-41</v>
      </c>
      <c r="Z1236" s="11">
        <v>-58</v>
      </c>
      <c r="AA1236" s="11">
        <v>8.1999999999999993</v>
      </c>
      <c r="AB1236" s="11">
        <v>234</v>
      </c>
      <c r="AC1236" s="11">
        <v>-23.5</v>
      </c>
      <c r="AD1236" s="11">
        <v>286</v>
      </c>
      <c r="AE1236" s="11">
        <v>-18.399999999999999</v>
      </c>
      <c r="AF1236" s="11">
        <v>304</v>
      </c>
      <c r="AG1236" s="11">
        <v>-16.8</v>
      </c>
      <c r="AH1236" s="11">
        <v>77</v>
      </c>
      <c r="AI1236" s="11">
        <v>77</v>
      </c>
      <c r="AJ1236" s="11">
        <v>84</v>
      </c>
      <c r="AK1236" s="11" t="s">
        <v>39</v>
      </c>
      <c r="AL1236" s="11" t="s">
        <v>44</v>
      </c>
      <c r="AM1236" s="10">
        <v>1.5</v>
      </c>
      <c r="AN1236" s="9">
        <v>398</v>
      </c>
      <c r="AO1236" s="8" t="s">
        <v>302</v>
      </c>
      <c r="AP1236" s="8">
        <v>995</v>
      </c>
      <c r="AQ1236" s="8">
        <v>17</v>
      </c>
      <c r="AR1236" s="8">
        <v>21.4</v>
      </c>
      <c r="AS1236" s="8">
        <v>19.399999999999999</v>
      </c>
      <c r="AT1236" s="8">
        <v>34</v>
      </c>
      <c r="AU1236" s="8">
        <v>13.1</v>
      </c>
      <c r="AV1236" s="8">
        <v>70</v>
      </c>
      <c r="AW1236" s="8">
        <v>54</v>
      </c>
      <c r="AX1236" s="8">
        <v>182</v>
      </c>
      <c r="AY1236" s="8">
        <v>47</v>
      </c>
      <c r="AZ1236" s="8" t="s">
        <v>37</v>
      </c>
      <c r="BA1236" s="7" t="s">
        <v>46</v>
      </c>
      <c r="BB1236" s="9">
        <v>362</v>
      </c>
      <c r="BC1236" s="8" t="s">
        <v>301</v>
      </c>
      <c r="BD1236" s="8">
        <v>0.3</v>
      </c>
      <c r="BE1236" s="8">
        <v>0.3</v>
      </c>
      <c r="BF1236" s="8">
        <v>0.6</v>
      </c>
      <c r="BG1236" s="8">
        <v>1.7</v>
      </c>
      <c r="BH1236" s="8">
        <v>4.3</v>
      </c>
      <c r="BI1236" s="8">
        <v>8</v>
      </c>
      <c r="BJ1236" s="8">
        <v>10</v>
      </c>
      <c r="BK1236" s="8">
        <v>8.8000000000000007</v>
      </c>
      <c r="BL1236" s="8">
        <v>5.6</v>
      </c>
      <c r="BM1236" s="8">
        <v>2.2999999999999998</v>
      </c>
      <c r="BN1236" s="8">
        <v>0.7</v>
      </c>
      <c r="BO1236" s="8">
        <v>0.4</v>
      </c>
      <c r="BP1236" s="7">
        <v>3.6</v>
      </c>
    </row>
    <row r="1237" spans="1:68" ht="14.25" customHeight="1">
      <c r="A1237" s="12">
        <v>580</v>
      </c>
      <c r="B1237" s="14">
        <v>107</v>
      </c>
      <c r="C1237" s="13" t="s">
        <v>30</v>
      </c>
      <c r="D1237" s="13" t="s">
        <v>300</v>
      </c>
      <c r="E1237" s="13" t="s">
        <v>297</v>
      </c>
      <c r="F1237" s="11">
        <v>-24.8</v>
      </c>
      <c r="G1237" s="11">
        <v>-22.3</v>
      </c>
      <c r="H1237" s="11">
        <v>-12.5</v>
      </c>
      <c r="I1237" s="11">
        <v>0.6</v>
      </c>
      <c r="J1237" s="11">
        <v>8.1999999999999993</v>
      </c>
      <c r="K1237" s="11">
        <v>15.6</v>
      </c>
      <c r="L1237" s="11">
        <v>18</v>
      </c>
      <c r="M1237" s="11">
        <v>15.1</v>
      </c>
      <c r="N1237" s="11">
        <v>7.7</v>
      </c>
      <c r="O1237" s="11">
        <v>-0.8</v>
      </c>
      <c r="P1237" s="11">
        <v>-14.2</v>
      </c>
      <c r="Q1237" s="11">
        <v>-21.9</v>
      </c>
      <c r="R1237" s="10">
        <v>-2.6</v>
      </c>
      <c r="S1237" s="12">
        <v>107</v>
      </c>
      <c r="T1237" s="8" t="s">
        <v>299</v>
      </c>
      <c r="U1237" s="11">
        <v>-46</v>
      </c>
      <c r="V1237" s="11">
        <v>-44</v>
      </c>
      <c r="W1237" s="11">
        <v>-44</v>
      </c>
      <c r="X1237" s="11">
        <v>-41</v>
      </c>
      <c r="Y1237" s="11">
        <v>-30</v>
      </c>
      <c r="Z1237" s="11">
        <v>-50</v>
      </c>
      <c r="AA1237" s="11">
        <v>11.1</v>
      </c>
      <c r="AB1237" s="11">
        <v>183</v>
      </c>
      <c r="AC1237" s="11">
        <v>-15.8</v>
      </c>
      <c r="AD1237" s="11">
        <v>243</v>
      </c>
      <c r="AE1237" s="11">
        <v>-10.9</v>
      </c>
      <c r="AF1237" s="11">
        <v>259</v>
      </c>
      <c r="AG1237" s="11">
        <v>-9.6</v>
      </c>
      <c r="AH1237" s="11">
        <v>80</v>
      </c>
      <c r="AI1237" s="11">
        <v>79</v>
      </c>
      <c r="AJ1237" s="11">
        <v>46</v>
      </c>
      <c r="AK1237" s="11" t="s">
        <v>56</v>
      </c>
      <c r="AL1237" s="11" t="s">
        <v>44</v>
      </c>
      <c r="AM1237" s="10">
        <v>3.1</v>
      </c>
      <c r="AN1237" s="9">
        <v>107</v>
      </c>
      <c r="AO1237" s="8" t="s">
        <v>298</v>
      </c>
      <c r="AP1237" s="8">
        <v>955</v>
      </c>
      <c r="AQ1237" s="8">
        <v>22.8</v>
      </c>
      <c r="AR1237" s="8">
        <v>26.9</v>
      </c>
      <c r="AS1237" s="8">
        <v>25.2</v>
      </c>
      <c r="AT1237" s="8">
        <v>37</v>
      </c>
      <c r="AU1237" s="8">
        <v>13.8</v>
      </c>
      <c r="AV1237" s="8">
        <v>72</v>
      </c>
      <c r="AW1237" s="8">
        <v>56</v>
      </c>
      <c r="AX1237" s="8">
        <v>278</v>
      </c>
      <c r="AY1237" s="8" t="s">
        <v>64</v>
      </c>
      <c r="AZ1237" s="8" t="s">
        <v>54</v>
      </c>
      <c r="BA1237" s="7" t="s">
        <v>46</v>
      </c>
      <c r="BB1237" s="9">
        <v>91</v>
      </c>
      <c r="BC1237" s="8" t="s">
        <v>297</v>
      </c>
      <c r="BD1237" s="8">
        <v>0.8</v>
      </c>
      <c r="BE1237" s="8">
        <v>1</v>
      </c>
      <c r="BF1237" s="8">
        <v>2</v>
      </c>
      <c r="BG1237" s="8">
        <v>3.6</v>
      </c>
      <c r="BH1237" s="8">
        <v>5.5</v>
      </c>
      <c r="BI1237" s="8">
        <v>10.4</v>
      </c>
      <c r="BJ1237" s="8">
        <v>14.3</v>
      </c>
      <c r="BK1237" s="8">
        <v>12.6</v>
      </c>
      <c r="BL1237" s="8">
        <v>7.6</v>
      </c>
      <c r="BM1237" s="8">
        <v>4.0999999999999996</v>
      </c>
      <c r="BN1237" s="8">
        <v>2</v>
      </c>
      <c r="BO1237" s="8">
        <v>1.2</v>
      </c>
      <c r="BP1237" s="7">
        <v>5.4</v>
      </c>
    </row>
    <row r="1238" spans="1:68" ht="14.25" customHeight="1">
      <c r="A1238" s="12">
        <v>581</v>
      </c>
      <c r="B1238" s="14">
        <v>157</v>
      </c>
      <c r="C1238" s="13" t="s">
        <v>30</v>
      </c>
      <c r="D1238" s="13" t="s">
        <v>280</v>
      </c>
      <c r="E1238" s="13" t="s">
        <v>294</v>
      </c>
      <c r="F1238" s="11">
        <v>-18.399999999999999</v>
      </c>
      <c r="G1238" s="11">
        <v>-17.600000000000001</v>
      </c>
      <c r="H1238" s="11">
        <v>-12.9</v>
      </c>
      <c r="I1238" s="11">
        <v>-4.3</v>
      </c>
      <c r="J1238" s="11">
        <v>1.4</v>
      </c>
      <c r="K1238" s="11">
        <v>9.5</v>
      </c>
      <c r="L1238" s="11">
        <v>14.1</v>
      </c>
      <c r="M1238" s="11">
        <v>11.6</v>
      </c>
      <c r="N1238" s="11">
        <v>5.7</v>
      </c>
      <c r="O1238" s="11">
        <v>-2.1</v>
      </c>
      <c r="P1238" s="11">
        <v>-9.6</v>
      </c>
      <c r="Q1238" s="11">
        <v>-15.6</v>
      </c>
      <c r="R1238" s="10">
        <v>-3.2</v>
      </c>
      <c r="S1238" s="12">
        <v>157</v>
      </c>
      <c r="T1238" s="8" t="s">
        <v>296</v>
      </c>
      <c r="U1238" s="11">
        <v>-47</v>
      </c>
      <c r="V1238" s="11">
        <v>-44</v>
      </c>
      <c r="W1238" s="11">
        <v>-43</v>
      </c>
      <c r="X1238" s="11">
        <v>-41</v>
      </c>
      <c r="Y1238" s="11">
        <v>-23</v>
      </c>
      <c r="Z1238" s="11">
        <v>-53</v>
      </c>
      <c r="AA1238" s="11">
        <v>8.1999999999999993</v>
      </c>
      <c r="AB1238" s="11">
        <v>213</v>
      </c>
      <c r="AC1238" s="11">
        <v>-11.2</v>
      </c>
      <c r="AD1238" s="11">
        <v>279</v>
      </c>
      <c r="AE1238" s="11">
        <v>-7.6</v>
      </c>
      <c r="AF1238" s="11">
        <v>298</v>
      </c>
      <c r="AG1238" s="11">
        <v>-6.5</v>
      </c>
      <c r="AH1238" s="11">
        <v>85</v>
      </c>
      <c r="AI1238" s="11">
        <v>85</v>
      </c>
      <c r="AJ1238" s="11">
        <v>151</v>
      </c>
      <c r="AK1238" s="11" t="s">
        <v>34</v>
      </c>
      <c r="AL1238" s="11" t="s">
        <v>44</v>
      </c>
      <c r="AM1238" s="10">
        <v>4.8</v>
      </c>
      <c r="AN1238" s="9">
        <v>157</v>
      </c>
      <c r="AO1238" s="8" t="s">
        <v>295</v>
      </c>
      <c r="AP1238" s="8">
        <v>1000</v>
      </c>
      <c r="AQ1238" s="8">
        <v>17.100000000000001</v>
      </c>
      <c r="AR1238" s="8">
        <v>21.5</v>
      </c>
      <c r="AS1238" s="8">
        <v>19.5</v>
      </c>
      <c r="AT1238" s="8">
        <v>32</v>
      </c>
      <c r="AU1238" s="8">
        <v>10.1</v>
      </c>
      <c r="AV1238" s="8">
        <v>71</v>
      </c>
      <c r="AW1238" s="8">
        <v>61</v>
      </c>
      <c r="AX1238" s="8">
        <v>344</v>
      </c>
      <c r="AY1238" s="8">
        <v>50</v>
      </c>
      <c r="AZ1238" s="8" t="s">
        <v>32</v>
      </c>
      <c r="BA1238" s="7" t="s">
        <v>46</v>
      </c>
      <c r="BB1238" s="9">
        <v>137</v>
      </c>
      <c r="BC1238" s="8" t="s">
        <v>294</v>
      </c>
      <c r="BD1238" s="8">
        <v>1.6</v>
      </c>
      <c r="BE1238" s="8">
        <v>1.7</v>
      </c>
      <c r="BF1238" s="8">
        <v>2.2999999999999998</v>
      </c>
      <c r="BG1238" s="8">
        <v>3.6</v>
      </c>
      <c r="BH1238" s="8">
        <v>5.0999999999999996</v>
      </c>
      <c r="BI1238" s="8">
        <v>8.1999999999999993</v>
      </c>
      <c r="BJ1238" s="8">
        <v>11.5</v>
      </c>
      <c r="BK1238" s="8">
        <v>11</v>
      </c>
      <c r="BL1238" s="8">
        <v>8</v>
      </c>
      <c r="BM1238" s="8">
        <v>4.9000000000000004</v>
      </c>
      <c r="BN1238" s="8">
        <v>3.1</v>
      </c>
      <c r="BO1238" s="8">
        <v>2.1</v>
      </c>
      <c r="BP1238" s="7">
        <v>5.3</v>
      </c>
    </row>
    <row r="1239" spans="1:68" ht="14.25" customHeight="1">
      <c r="A1239" s="12">
        <v>582</v>
      </c>
      <c r="B1239" s="14">
        <v>130</v>
      </c>
      <c r="C1239" s="13" t="s">
        <v>30</v>
      </c>
      <c r="D1239" s="13" t="s">
        <v>293</v>
      </c>
      <c r="E1239" s="13" t="s">
        <v>290</v>
      </c>
      <c r="F1239" s="11">
        <v>-14.2</v>
      </c>
      <c r="G1239" s="11">
        <v>-14.4</v>
      </c>
      <c r="H1239" s="11">
        <v>-11.3</v>
      </c>
      <c r="I1239" s="11">
        <v>-4.5</v>
      </c>
      <c r="J1239" s="11">
        <v>2.2000000000000002</v>
      </c>
      <c r="K1239" s="11">
        <v>7.3</v>
      </c>
      <c r="L1239" s="11">
        <v>11.2</v>
      </c>
      <c r="M1239" s="11">
        <v>11.7</v>
      </c>
      <c r="N1239" s="11">
        <v>8</v>
      </c>
      <c r="O1239" s="11">
        <v>1.6</v>
      </c>
      <c r="P1239" s="11">
        <v>-5.7</v>
      </c>
      <c r="Q1239" s="11">
        <v>-11.1</v>
      </c>
      <c r="R1239" s="10">
        <v>-1.6</v>
      </c>
      <c r="S1239" s="12">
        <v>130</v>
      </c>
      <c r="T1239" s="8" t="s">
        <v>292</v>
      </c>
      <c r="U1239" s="11">
        <v>-38</v>
      </c>
      <c r="V1239" s="11">
        <v>-35</v>
      </c>
      <c r="W1239" s="11">
        <v>-34</v>
      </c>
      <c r="X1239" s="11">
        <v>-31</v>
      </c>
      <c r="Y1239" s="11">
        <v>-19</v>
      </c>
      <c r="Z1239" s="11">
        <v>-42</v>
      </c>
      <c r="AA1239" s="11">
        <v>9.1</v>
      </c>
      <c r="AB1239" s="11">
        <v>195</v>
      </c>
      <c r="AC1239" s="11">
        <v>-9.1999999999999993</v>
      </c>
      <c r="AD1239" s="11">
        <v>278</v>
      </c>
      <c r="AE1239" s="11">
        <v>-5.2</v>
      </c>
      <c r="AF1239" s="11">
        <v>311</v>
      </c>
      <c r="AG1239" s="11">
        <v>-3.8</v>
      </c>
      <c r="AH1239" s="11">
        <v>84</v>
      </c>
      <c r="AI1239" s="11">
        <v>81</v>
      </c>
      <c r="AJ1239" s="11">
        <v>287</v>
      </c>
      <c r="AK1239" s="11" t="s">
        <v>199</v>
      </c>
      <c r="AL1239" s="11">
        <v>8.1</v>
      </c>
      <c r="AM1239" s="10">
        <v>5.5</v>
      </c>
      <c r="AN1239" s="9">
        <v>130</v>
      </c>
      <c r="AO1239" s="8" t="s">
        <v>291</v>
      </c>
      <c r="AP1239" s="8">
        <v>1010</v>
      </c>
      <c r="AQ1239" s="8">
        <v>13.1</v>
      </c>
      <c r="AR1239" s="8">
        <v>18</v>
      </c>
      <c r="AS1239" s="8">
        <v>15.5</v>
      </c>
      <c r="AT1239" s="8">
        <v>30</v>
      </c>
      <c r="AU1239" s="8">
        <v>6.9</v>
      </c>
      <c r="AV1239" s="8">
        <v>89</v>
      </c>
      <c r="AW1239" s="8">
        <v>82</v>
      </c>
      <c r="AX1239" s="8">
        <v>479</v>
      </c>
      <c r="AY1239" s="8">
        <v>61</v>
      </c>
      <c r="AZ1239" s="8" t="s">
        <v>32</v>
      </c>
      <c r="BA1239" s="7">
        <v>0</v>
      </c>
      <c r="BB1239" s="9">
        <v>113</v>
      </c>
      <c r="BC1239" s="8" t="s">
        <v>290</v>
      </c>
      <c r="BD1239" s="8">
        <v>2</v>
      </c>
      <c r="BE1239" s="8">
        <v>1.9</v>
      </c>
      <c r="BF1239" s="8">
        <v>2.4</v>
      </c>
      <c r="BG1239" s="8">
        <v>3.7</v>
      </c>
      <c r="BH1239" s="8">
        <v>5.9</v>
      </c>
      <c r="BI1239" s="8">
        <v>8.6999999999999993</v>
      </c>
      <c r="BJ1239" s="8">
        <v>11.7</v>
      </c>
      <c r="BK1239" s="8">
        <v>12.1</v>
      </c>
      <c r="BL1239" s="8">
        <v>9.3000000000000007</v>
      </c>
      <c r="BM1239" s="8">
        <v>5.8</v>
      </c>
      <c r="BN1239" s="8">
        <v>3.5</v>
      </c>
      <c r="BO1239" s="8">
        <v>2.4</v>
      </c>
      <c r="BP1239" s="7">
        <v>5.8</v>
      </c>
    </row>
    <row r="1240" spans="1:68" ht="14.25" customHeight="1">
      <c r="A1240" s="12">
        <v>583</v>
      </c>
      <c r="B1240" s="14">
        <v>158</v>
      </c>
      <c r="C1240" s="13" t="s">
        <v>30</v>
      </c>
      <c r="D1240" s="13" t="s">
        <v>280</v>
      </c>
      <c r="E1240" s="13" t="s">
        <v>287</v>
      </c>
      <c r="F1240" s="11">
        <v>-17.3</v>
      </c>
      <c r="G1240" s="11">
        <v>-15.8</v>
      </c>
      <c r="H1240" s="11">
        <v>-10.7</v>
      </c>
      <c r="I1240" s="11">
        <v>-2.6</v>
      </c>
      <c r="J1240" s="11">
        <v>3.1</v>
      </c>
      <c r="K1240" s="11">
        <v>10.6</v>
      </c>
      <c r="L1240" s="11">
        <v>14.5</v>
      </c>
      <c r="M1240" s="11">
        <v>12</v>
      </c>
      <c r="N1240" s="11">
        <v>6.2</v>
      </c>
      <c r="O1240" s="11">
        <v>-1.3</v>
      </c>
      <c r="P1240" s="11">
        <v>-8.5</v>
      </c>
      <c r="Q1240" s="11">
        <v>-14.2</v>
      </c>
      <c r="R1240" s="10">
        <v>-2</v>
      </c>
      <c r="S1240" s="12">
        <v>158</v>
      </c>
      <c r="T1240" s="8" t="s">
        <v>289</v>
      </c>
      <c r="U1240" s="11">
        <v>-46</v>
      </c>
      <c r="V1240" s="11">
        <v>-44</v>
      </c>
      <c r="W1240" s="11">
        <v>-41</v>
      </c>
      <c r="X1240" s="11">
        <v>-39</v>
      </c>
      <c r="Y1240" s="11">
        <v>-22</v>
      </c>
      <c r="Z1240" s="11">
        <v>-52</v>
      </c>
      <c r="AA1240" s="11">
        <v>8.4</v>
      </c>
      <c r="AB1240" s="11">
        <v>201</v>
      </c>
      <c r="AC1240" s="11">
        <v>-10.4</v>
      </c>
      <c r="AD1240" s="11">
        <v>272</v>
      </c>
      <c r="AE1240" s="11">
        <v>-6.6</v>
      </c>
      <c r="AF1240" s="11">
        <v>290</v>
      </c>
      <c r="AG1240" s="11">
        <v>-5.6</v>
      </c>
      <c r="AH1240" s="11">
        <v>84</v>
      </c>
      <c r="AI1240" s="11">
        <v>82</v>
      </c>
      <c r="AJ1240" s="11">
        <v>158</v>
      </c>
      <c r="AK1240" s="11" t="s">
        <v>66</v>
      </c>
      <c r="AL1240" s="11" t="s">
        <v>44</v>
      </c>
      <c r="AM1240" s="10">
        <v>4.5</v>
      </c>
      <c r="AN1240" s="9">
        <v>158</v>
      </c>
      <c r="AO1240" s="8" t="s">
        <v>288</v>
      </c>
      <c r="AP1240" s="8">
        <v>1000</v>
      </c>
      <c r="AQ1240" s="8">
        <v>18.2</v>
      </c>
      <c r="AR1240" s="8">
        <v>22.9</v>
      </c>
      <c r="AS1240" s="8">
        <v>19.7</v>
      </c>
      <c r="AT1240" s="8">
        <v>34</v>
      </c>
      <c r="AU1240" s="8">
        <v>9.9</v>
      </c>
      <c r="AV1240" s="8">
        <v>71</v>
      </c>
      <c r="AW1240" s="8">
        <v>57</v>
      </c>
      <c r="AX1240" s="8">
        <v>383</v>
      </c>
      <c r="AY1240" s="8">
        <v>66</v>
      </c>
      <c r="AZ1240" s="8" t="s">
        <v>114</v>
      </c>
      <c r="BA1240" s="7" t="s">
        <v>46</v>
      </c>
      <c r="BB1240" s="9">
        <v>138</v>
      </c>
      <c r="BC1240" s="8" t="s">
        <v>287</v>
      </c>
      <c r="BD1240" s="8">
        <v>1.7</v>
      </c>
      <c r="BE1240" s="8">
        <v>1.8</v>
      </c>
      <c r="BF1240" s="8">
        <v>2.5</v>
      </c>
      <c r="BG1240" s="8">
        <v>3.9</v>
      </c>
      <c r="BH1240" s="8">
        <v>5.5</v>
      </c>
      <c r="BI1240" s="8">
        <v>8.6999999999999993</v>
      </c>
      <c r="BJ1240" s="8">
        <v>11.8</v>
      </c>
      <c r="BK1240" s="8">
        <v>11.4</v>
      </c>
      <c r="BL1240" s="8">
        <v>8.3000000000000007</v>
      </c>
      <c r="BM1240" s="8">
        <v>5.2</v>
      </c>
      <c r="BN1240" s="8">
        <v>3.4</v>
      </c>
      <c r="BO1240" s="8">
        <v>2.2999999999999998</v>
      </c>
      <c r="BP1240" s="7">
        <v>5.5</v>
      </c>
    </row>
    <row r="1241" spans="1:68" ht="14.25" customHeight="1">
      <c r="A1241" s="12">
        <v>584</v>
      </c>
      <c r="B1241" s="14">
        <v>159</v>
      </c>
      <c r="C1241" s="13" t="s">
        <v>30</v>
      </c>
      <c r="D1241" s="13" t="s">
        <v>280</v>
      </c>
      <c r="E1241" s="13" t="s">
        <v>284</v>
      </c>
      <c r="F1241" s="11">
        <v>-19.7</v>
      </c>
      <c r="G1241" s="11">
        <v>-17.7</v>
      </c>
      <c r="H1241" s="11">
        <v>-12</v>
      </c>
      <c r="I1241" s="11">
        <v>-2.4</v>
      </c>
      <c r="J1241" s="11">
        <v>3.7</v>
      </c>
      <c r="K1241" s="11">
        <v>11.4</v>
      </c>
      <c r="L1241" s="11">
        <v>15.2</v>
      </c>
      <c r="M1241" s="11">
        <v>12.3</v>
      </c>
      <c r="N1241" s="11">
        <v>6.4</v>
      </c>
      <c r="O1241" s="11">
        <v>-1.8</v>
      </c>
      <c r="P1241" s="11">
        <v>-10.199999999999999</v>
      </c>
      <c r="Q1241" s="11">
        <v>-16.899999999999999</v>
      </c>
      <c r="R1241" s="10">
        <v>-2.6</v>
      </c>
      <c r="S1241" s="12">
        <v>159</v>
      </c>
      <c r="T1241" s="8" t="s">
        <v>286</v>
      </c>
      <c r="U1241" s="11">
        <v>-53</v>
      </c>
      <c r="V1241" s="11">
        <v>-50</v>
      </c>
      <c r="W1241" s="11">
        <v>-49</v>
      </c>
      <c r="X1241" s="11">
        <v>-45</v>
      </c>
      <c r="Y1241" s="11">
        <v>-25</v>
      </c>
      <c r="Z1241" s="11">
        <v>-58</v>
      </c>
      <c r="AA1241" s="11">
        <v>10</v>
      </c>
      <c r="AB1241" s="11">
        <v>200</v>
      </c>
      <c r="AC1241" s="11">
        <v>-12</v>
      </c>
      <c r="AD1241" s="11">
        <v>268</v>
      </c>
      <c r="AE1241" s="11">
        <v>-7.9</v>
      </c>
      <c r="AF1241" s="11">
        <v>286</v>
      </c>
      <c r="AG1241" s="11">
        <v>-6.8</v>
      </c>
      <c r="AH1241" s="11">
        <v>82</v>
      </c>
      <c r="AI1241" s="11">
        <v>82</v>
      </c>
      <c r="AJ1241" s="11">
        <v>198</v>
      </c>
      <c r="AK1241" s="11" t="s">
        <v>34</v>
      </c>
      <c r="AL1241" s="11">
        <v>5</v>
      </c>
      <c r="AM1241" s="10">
        <v>3.3</v>
      </c>
      <c r="AN1241" s="9">
        <v>159</v>
      </c>
      <c r="AO1241" s="8" t="s">
        <v>285</v>
      </c>
      <c r="AP1241" s="8">
        <v>1000</v>
      </c>
      <c r="AQ1241" s="8">
        <v>18.600000000000001</v>
      </c>
      <c r="AR1241" s="8">
        <v>23</v>
      </c>
      <c r="AS1241" s="8">
        <v>21</v>
      </c>
      <c r="AT1241" s="8">
        <v>35</v>
      </c>
      <c r="AU1241" s="8">
        <v>13.7</v>
      </c>
      <c r="AV1241" s="8">
        <v>70</v>
      </c>
      <c r="AW1241" s="8">
        <v>56</v>
      </c>
      <c r="AX1241" s="8">
        <v>432</v>
      </c>
      <c r="AY1241" s="8">
        <v>52</v>
      </c>
      <c r="AZ1241" s="8" t="s">
        <v>32</v>
      </c>
      <c r="BA1241" s="7">
        <v>0</v>
      </c>
      <c r="BB1241" s="9">
        <v>139</v>
      </c>
      <c r="BC1241" s="8" t="s">
        <v>284</v>
      </c>
      <c r="BD1241" s="8">
        <v>1.5</v>
      </c>
      <c r="BE1241" s="8">
        <v>1.6</v>
      </c>
      <c r="BF1241" s="8">
        <v>2.4</v>
      </c>
      <c r="BG1241" s="8">
        <v>4</v>
      </c>
      <c r="BH1241" s="8">
        <v>5.6</v>
      </c>
      <c r="BI1241" s="8">
        <v>9</v>
      </c>
      <c r="BJ1241" s="8">
        <v>12.2</v>
      </c>
      <c r="BK1241" s="8">
        <v>11.5</v>
      </c>
      <c r="BL1241" s="8">
        <v>8.3000000000000007</v>
      </c>
      <c r="BM1241" s="8">
        <v>5</v>
      </c>
      <c r="BN1241" s="8">
        <v>3.1</v>
      </c>
      <c r="BO1241" s="8">
        <v>2</v>
      </c>
      <c r="BP1241" s="7">
        <v>5.5</v>
      </c>
    </row>
    <row r="1242" spans="1:68" ht="14.25" customHeight="1">
      <c r="A1242" s="12">
        <v>585</v>
      </c>
      <c r="B1242" s="14">
        <v>50</v>
      </c>
      <c r="C1242" s="13" t="s">
        <v>30</v>
      </c>
      <c r="D1242" s="13" t="s">
        <v>41</v>
      </c>
      <c r="E1242" s="13" t="s">
        <v>281</v>
      </c>
      <c r="F1242" s="11">
        <v>-14.9</v>
      </c>
      <c r="G1242" s="11">
        <v>-13.7</v>
      </c>
      <c r="H1242" s="11">
        <v>-6.7</v>
      </c>
      <c r="I1242" s="11">
        <v>4.4000000000000004</v>
      </c>
      <c r="J1242" s="11">
        <v>13.3</v>
      </c>
      <c r="K1242" s="11">
        <v>17.3</v>
      </c>
      <c r="L1242" s="11">
        <v>18.899999999999999</v>
      </c>
      <c r="M1242" s="11">
        <v>16.8</v>
      </c>
      <c r="N1242" s="11">
        <v>11.1</v>
      </c>
      <c r="O1242" s="11">
        <v>2.8</v>
      </c>
      <c r="P1242" s="11">
        <v>-5.0999999999999996</v>
      </c>
      <c r="Q1242" s="11">
        <v>-11.2</v>
      </c>
      <c r="R1242" s="10">
        <v>2.8</v>
      </c>
      <c r="S1242" s="12">
        <v>50</v>
      </c>
      <c r="T1242" s="8" t="s">
        <v>283</v>
      </c>
      <c r="U1242" s="11">
        <v>-41</v>
      </c>
      <c r="V1242" s="11">
        <v>-39</v>
      </c>
      <c r="W1242" s="11">
        <v>-38</v>
      </c>
      <c r="X1242" s="11">
        <v>-35</v>
      </c>
      <c r="Y1242" s="11">
        <v>-20</v>
      </c>
      <c r="Z1242" s="11">
        <v>-49</v>
      </c>
      <c r="AA1242" s="11">
        <v>8.3000000000000007</v>
      </c>
      <c r="AB1242" s="11">
        <v>159</v>
      </c>
      <c r="AC1242" s="11">
        <v>-9.4</v>
      </c>
      <c r="AD1242" s="11">
        <v>213</v>
      </c>
      <c r="AE1242" s="11">
        <v>-5.9</v>
      </c>
      <c r="AF1242" s="11">
        <v>227</v>
      </c>
      <c r="AG1242" s="11">
        <v>-5</v>
      </c>
      <c r="AH1242" s="11">
        <v>81</v>
      </c>
      <c r="AI1242" s="11">
        <v>76</v>
      </c>
      <c r="AJ1242" s="11">
        <v>195</v>
      </c>
      <c r="AK1242" s="11" t="s">
        <v>34</v>
      </c>
      <c r="AL1242" s="11">
        <v>5.5</v>
      </c>
      <c r="AM1242" s="10">
        <v>3.5</v>
      </c>
      <c r="AN1242" s="9">
        <v>50</v>
      </c>
      <c r="AO1242" s="8" t="s">
        <v>282</v>
      </c>
      <c r="AP1242" s="8">
        <v>990</v>
      </c>
      <c r="AQ1242" s="8">
        <v>23.3</v>
      </c>
      <c r="AR1242" s="8">
        <v>27.3</v>
      </c>
      <c r="AS1242" s="8">
        <v>24.2</v>
      </c>
      <c r="AT1242" s="8">
        <v>39</v>
      </c>
      <c r="AU1242" s="8">
        <v>10.7</v>
      </c>
      <c r="AV1242" s="8">
        <v>72</v>
      </c>
      <c r="AW1242" s="8">
        <v>54</v>
      </c>
      <c r="AX1242" s="8">
        <v>362</v>
      </c>
      <c r="AY1242" s="8">
        <v>58</v>
      </c>
      <c r="AZ1242" s="8" t="s">
        <v>32</v>
      </c>
      <c r="BA1242" s="7">
        <v>0</v>
      </c>
      <c r="BB1242" s="9">
        <v>36</v>
      </c>
      <c r="BC1242" s="8" t="s">
        <v>281</v>
      </c>
      <c r="BD1242" s="8">
        <v>2</v>
      </c>
      <c r="BE1242" s="8">
        <v>2</v>
      </c>
      <c r="BF1242" s="8">
        <v>3.2</v>
      </c>
      <c r="BG1242" s="8">
        <v>6</v>
      </c>
      <c r="BH1242" s="8">
        <v>8.8000000000000007</v>
      </c>
      <c r="BI1242" s="8">
        <v>12.7</v>
      </c>
      <c r="BJ1242" s="8">
        <v>15.4</v>
      </c>
      <c r="BK1242" s="8">
        <v>13.6</v>
      </c>
      <c r="BL1242" s="8">
        <v>9.6999999999999993</v>
      </c>
      <c r="BM1242" s="8">
        <v>6.1</v>
      </c>
      <c r="BN1242" s="8">
        <v>3.9</v>
      </c>
      <c r="BO1242" s="8">
        <v>2.6</v>
      </c>
      <c r="BP1242" s="7">
        <v>7.2</v>
      </c>
    </row>
    <row r="1243" spans="1:68" ht="14.25" customHeight="1">
      <c r="A1243" s="12">
        <v>586</v>
      </c>
      <c r="B1243" s="14">
        <v>160</v>
      </c>
      <c r="C1243" s="13" t="s">
        <v>30</v>
      </c>
      <c r="D1243" s="13" t="s">
        <v>280</v>
      </c>
      <c r="E1243" s="13" t="s">
        <v>277</v>
      </c>
      <c r="F1243" s="11">
        <v>-17.3</v>
      </c>
      <c r="G1243" s="11">
        <v>-15.8</v>
      </c>
      <c r="H1243" s="11">
        <v>-8.9</v>
      </c>
      <c r="I1243" s="11">
        <v>-0.5</v>
      </c>
      <c r="J1243" s="11">
        <v>5.4</v>
      </c>
      <c r="K1243" s="11">
        <v>12.1</v>
      </c>
      <c r="L1243" s="11">
        <v>15.7</v>
      </c>
      <c r="M1243" s="11">
        <v>12.7</v>
      </c>
      <c r="N1243" s="11">
        <v>6.6</v>
      </c>
      <c r="O1243" s="11">
        <v>-1.4</v>
      </c>
      <c r="P1243" s="11">
        <v>-8.5</v>
      </c>
      <c r="Q1243" s="11">
        <v>-13.6</v>
      </c>
      <c r="R1243" s="10">
        <v>-1.1000000000000001</v>
      </c>
      <c r="S1243" s="12">
        <v>160</v>
      </c>
      <c r="T1243" s="8" t="s">
        <v>279</v>
      </c>
      <c r="U1243" s="11">
        <v>-46</v>
      </c>
      <c r="V1243" s="11">
        <v>-44</v>
      </c>
      <c r="W1243" s="11">
        <v>-41</v>
      </c>
      <c r="X1243" s="11">
        <v>-39</v>
      </c>
      <c r="Y1243" s="11">
        <v>-22</v>
      </c>
      <c r="Z1243" s="11">
        <v>-49</v>
      </c>
      <c r="AA1243" s="11">
        <v>7.4</v>
      </c>
      <c r="AB1243" s="11">
        <v>189</v>
      </c>
      <c r="AC1243" s="11">
        <v>-10.4</v>
      </c>
      <c r="AD1243" s="11">
        <v>261</v>
      </c>
      <c r="AE1243" s="11">
        <v>-6.4</v>
      </c>
      <c r="AF1243" s="11">
        <v>280</v>
      </c>
      <c r="AG1243" s="11">
        <v>-5.4</v>
      </c>
      <c r="AH1243" s="11">
        <v>83</v>
      </c>
      <c r="AI1243" s="11">
        <v>83</v>
      </c>
      <c r="AJ1243" s="11">
        <v>161</v>
      </c>
      <c r="AK1243" s="11" t="s">
        <v>39</v>
      </c>
      <c r="AL1243" s="11">
        <v>4.8</v>
      </c>
      <c r="AM1243" s="10">
        <v>4.0999999999999996</v>
      </c>
      <c r="AN1243" s="9">
        <v>160</v>
      </c>
      <c r="AO1243" s="8" t="s">
        <v>278</v>
      </c>
      <c r="AP1243" s="8">
        <v>990</v>
      </c>
      <c r="AQ1243" s="8">
        <v>18.899999999999999</v>
      </c>
      <c r="AR1243" s="8">
        <v>23.2</v>
      </c>
      <c r="AS1243" s="8">
        <v>21.3</v>
      </c>
      <c r="AT1243" s="8">
        <v>35</v>
      </c>
      <c r="AU1243" s="8">
        <v>10.7</v>
      </c>
      <c r="AV1243" s="8">
        <v>69</v>
      </c>
      <c r="AW1243" s="8">
        <v>52</v>
      </c>
      <c r="AX1243" s="8">
        <v>379</v>
      </c>
      <c r="AY1243" s="8">
        <v>62</v>
      </c>
      <c r="AZ1243" s="8" t="s">
        <v>32</v>
      </c>
      <c r="BA1243" s="7">
        <v>3.4</v>
      </c>
      <c r="BB1243" s="9">
        <v>140</v>
      </c>
      <c r="BC1243" s="8" t="s">
        <v>277</v>
      </c>
      <c r="BD1243" s="8">
        <v>1.7</v>
      </c>
      <c r="BE1243" s="8">
        <v>1.8</v>
      </c>
      <c r="BF1243" s="8">
        <v>2.7</v>
      </c>
      <c r="BG1243" s="8">
        <v>4.2</v>
      </c>
      <c r="BH1243" s="8">
        <v>5.8</v>
      </c>
      <c r="BI1243" s="8">
        <v>9</v>
      </c>
      <c r="BJ1243" s="8">
        <v>12.1</v>
      </c>
      <c r="BK1243" s="8">
        <v>11.4</v>
      </c>
      <c r="BL1243" s="8">
        <v>8.4</v>
      </c>
      <c r="BM1243" s="8">
        <v>5.0999999999999996</v>
      </c>
      <c r="BN1243" s="8">
        <v>3.3</v>
      </c>
      <c r="BO1243" s="8">
        <v>2.2999999999999998</v>
      </c>
      <c r="BP1243" s="7">
        <v>5.6</v>
      </c>
    </row>
    <row r="1244" spans="1:68" ht="14.25" customHeight="1">
      <c r="A1244" s="12">
        <v>587</v>
      </c>
      <c r="B1244" s="14">
        <v>652</v>
      </c>
      <c r="C1244" s="13" t="s">
        <v>52</v>
      </c>
      <c r="D1244" s="13" t="s">
        <v>51</v>
      </c>
      <c r="E1244" s="13" t="s">
        <v>275</v>
      </c>
      <c r="F1244" s="11">
        <v>0.8</v>
      </c>
      <c r="G1244" s="11">
        <v>1.4</v>
      </c>
      <c r="H1244" s="11">
        <v>4.4000000000000004</v>
      </c>
      <c r="I1244" s="11">
        <v>10.6</v>
      </c>
      <c r="J1244" s="11">
        <v>16.100000000000001</v>
      </c>
      <c r="K1244" s="11">
        <v>20.8</v>
      </c>
      <c r="L1244" s="11">
        <v>23.4</v>
      </c>
      <c r="M1244" s="11">
        <v>22.8</v>
      </c>
      <c r="N1244" s="11">
        <v>18.399999999999999</v>
      </c>
      <c r="O1244" s="11">
        <v>12.4</v>
      </c>
      <c r="P1244" s="11">
        <v>7.8</v>
      </c>
      <c r="Q1244" s="11">
        <v>4.0999999999999996</v>
      </c>
      <c r="R1244" s="10">
        <v>11.9</v>
      </c>
      <c r="S1244" s="12">
        <v>641</v>
      </c>
      <c r="T1244" s="8" t="s">
        <v>275</v>
      </c>
      <c r="U1244" s="11">
        <v>-22</v>
      </c>
      <c r="V1244" s="11">
        <v>-19</v>
      </c>
      <c r="W1244" s="11">
        <v>-17</v>
      </c>
      <c r="X1244" s="11">
        <v>-15</v>
      </c>
      <c r="Y1244" s="11">
        <v>-2</v>
      </c>
      <c r="Z1244" s="11">
        <v>-25</v>
      </c>
      <c r="AA1244" s="11" t="s">
        <v>49</v>
      </c>
      <c r="AB1244" s="11">
        <v>0</v>
      </c>
      <c r="AC1244" s="11" t="s">
        <v>50</v>
      </c>
      <c r="AD1244" s="11">
        <v>140</v>
      </c>
      <c r="AE1244" s="11">
        <v>3.4</v>
      </c>
      <c r="AF1244" s="11">
        <v>162</v>
      </c>
      <c r="AG1244" s="11">
        <v>4.0999999999999996</v>
      </c>
      <c r="AH1244" s="11" t="s">
        <v>49</v>
      </c>
      <c r="AI1244" s="11" t="s">
        <v>49</v>
      </c>
      <c r="AJ1244" s="11">
        <v>185</v>
      </c>
      <c r="AK1244" s="11" t="s">
        <v>75</v>
      </c>
      <c r="AL1244" s="11">
        <v>6.5</v>
      </c>
      <c r="AM1244" s="10" t="s">
        <v>44</v>
      </c>
      <c r="AN1244" s="9">
        <v>642</v>
      </c>
      <c r="AO1244" s="8" t="s">
        <v>276</v>
      </c>
      <c r="AP1244" s="8">
        <v>1015</v>
      </c>
      <c r="AQ1244" s="8">
        <v>29</v>
      </c>
      <c r="AR1244" s="8">
        <v>25</v>
      </c>
      <c r="AS1244" s="8">
        <v>27.5</v>
      </c>
      <c r="AT1244" s="8">
        <v>38</v>
      </c>
      <c r="AU1244" s="8" t="s">
        <v>46</v>
      </c>
      <c r="AV1244" s="8" t="s">
        <v>45</v>
      </c>
      <c r="AW1244" s="8" t="s">
        <v>44</v>
      </c>
      <c r="AX1244" s="8" t="s">
        <v>44</v>
      </c>
      <c r="AY1244" s="8">
        <v>109</v>
      </c>
      <c r="AZ1244" s="8" t="s">
        <v>54</v>
      </c>
      <c r="BA1244" s="7">
        <v>2.4</v>
      </c>
      <c r="BB1244" s="9"/>
      <c r="BC1244" s="8" t="s">
        <v>275</v>
      </c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7"/>
    </row>
    <row r="1245" spans="1:68" ht="14.25" customHeight="1">
      <c r="A1245" s="12">
        <v>588</v>
      </c>
      <c r="B1245" s="14">
        <v>605</v>
      </c>
      <c r="C1245" s="13" t="s">
        <v>117</v>
      </c>
      <c r="D1245" s="13" t="s">
        <v>274</v>
      </c>
      <c r="E1245" s="13" t="s">
        <v>272</v>
      </c>
      <c r="F1245" s="11">
        <v>-1.7</v>
      </c>
      <c r="G1245" s="11">
        <v>1.5</v>
      </c>
      <c r="H1245" s="11">
        <v>7.9</v>
      </c>
      <c r="I1245" s="11">
        <v>15.6</v>
      </c>
      <c r="J1245" s="11">
        <v>20.8</v>
      </c>
      <c r="K1245" s="11">
        <v>25</v>
      </c>
      <c r="L1245" s="11">
        <v>26.9</v>
      </c>
      <c r="M1245" s="11">
        <v>25</v>
      </c>
      <c r="N1245" s="11">
        <v>19.7</v>
      </c>
      <c r="O1245" s="11">
        <v>13.1</v>
      </c>
      <c r="P1245" s="11">
        <v>5.7</v>
      </c>
      <c r="Q1245" s="11">
        <v>0.7</v>
      </c>
      <c r="R1245" s="10">
        <v>13.3</v>
      </c>
      <c r="S1245" s="12">
        <v>594</v>
      </c>
      <c r="T1245" s="8" t="s">
        <v>272</v>
      </c>
      <c r="U1245" s="11">
        <v>-18</v>
      </c>
      <c r="V1245" s="11">
        <v>-15</v>
      </c>
      <c r="W1245" s="11">
        <v>-15</v>
      </c>
      <c r="X1245" s="11" t="s">
        <v>64</v>
      </c>
      <c r="Y1245" s="11">
        <v>-6</v>
      </c>
      <c r="Z1245" s="11" t="s">
        <v>44</v>
      </c>
      <c r="AA1245" s="11">
        <v>9.1</v>
      </c>
      <c r="AB1245" s="11">
        <v>47</v>
      </c>
      <c r="AC1245" s="11" t="s">
        <v>45</v>
      </c>
      <c r="AD1245" s="11">
        <v>132</v>
      </c>
      <c r="AE1245" s="11">
        <v>1.9</v>
      </c>
      <c r="AF1245" s="11" t="s">
        <v>114</v>
      </c>
      <c r="AG1245" s="11" t="s">
        <v>44</v>
      </c>
      <c r="AH1245" s="11" t="s">
        <v>49</v>
      </c>
      <c r="AI1245" s="11" t="s">
        <v>49</v>
      </c>
      <c r="AJ1245" s="11" t="s">
        <v>84</v>
      </c>
      <c r="AK1245" s="11" t="s">
        <v>44</v>
      </c>
      <c r="AL1245" s="11">
        <v>1.4</v>
      </c>
      <c r="AM1245" s="10" t="s">
        <v>44</v>
      </c>
      <c r="AN1245" s="9">
        <v>595</v>
      </c>
      <c r="AO1245" s="8" t="s">
        <v>273</v>
      </c>
      <c r="AP1245" s="8">
        <v>950</v>
      </c>
      <c r="AQ1245" s="8">
        <v>32</v>
      </c>
      <c r="AR1245" s="8">
        <v>35.9</v>
      </c>
      <c r="AS1245" s="8">
        <v>34.299999999999997</v>
      </c>
      <c r="AT1245" s="8">
        <v>42</v>
      </c>
      <c r="AU1245" s="8">
        <v>15.4</v>
      </c>
      <c r="AV1245" s="8" t="s">
        <v>45</v>
      </c>
      <c r="AW1245" s="8" t="s">
        <v>44</v>
      </c>
      <c r="AX1245" s="8" t="s">
        <v>44</v>
      </c>
      <c r="AY1245" s="8">
        <v>85</v>
      </c>
      <c r="AZ1245" s="8" t="s">
        <v>114</v>
      </c>
      <c r="BA1245" s="7">
        <v>0</v>
      </c>
      <c r="BB1245" s="9"/>
      <c r="BC1245" s="8" t="s">
        <v>272</v>
      </c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7"/>
    </row>
    <row r="1246" spans="1:68" ht="14.25" customHeight="1">
      <c r="A1246" s="12">
        <v>589</v>
      </c>
      <c r="B1246" s="14">
        <v>525</v>
      </c>
      <c r="C1246" s="13" t="s">
        <v>121</v>
      </c>
      <c r="D1246" s="13" t="s">
        <v>271</v>
      </c>
      <c r="E1246" s="13" t="s">
        <v>269</v>
      </c>
      <c r="F1246" s="11">
        <v>-2.9</v>
      </c>
      <c r="G1246" s="11">
        <v>-2.2999999999999998</v>
      </c>
      <c r="H1246" s="11">
        <v>2.5</v>
      </c>
      <c r="I1246" s="11">
        <v>10.4</v>
      </c>
      <c r="J1246" s="11">
        <v>17.7</v>
      </c>
      <c r="K1246" s="11">
        <v>22.8</v>
      </c>
      <c r="L1246" s="11">
        <v>25.6</v>
      </c>
      <c r="M1246" s="11">
        <v>24.6</v>
      </c>
      <c r="N1246" s="11">
        <v>19.5</v>
      </c>
      <c r="O1246" s="11">
        <v>12.3</v>
      </c>
      <c r="P1246" s="11">
        <v>5.5</v>
      </c>
      <c r="Q1246" s="11">
        <v>0.2</v>
      </c>
      <c r="R1246" s="10">
        <v>11.3</v>
      </c>
      <c r="S1246" s="12">
        <v>525</v>
      </c>
      <c r="T1246" s="8" t="s">
        <v>269</v>
      </c>
      <c r="U1246" s="11">
        <v>-21</v>
      </c>
      <c r="V1246" s="11">
        <v>-19</v>
      </c>
      <c r="W1246" s="11">
        <v>-19</v>
      </c>
      <c r="X1246" s="11">
        <v>-17</v>
      </c>
      <c r="Y1246" s="11" t="s">
        <v>49</v>
      </c>
      <c r="Z1246" s="11" t="s">
        <v>44</v>
      </c>
      <c r="AA1246" s="11">
        <v>4.9000000000000004</v>
      </c>
      <c r="AB1246" s="11">
        <v>79</v>
      </c>
      <c r="AC1246" s="11">
        <v>-2.1</v>
      </c>
      <c r="AD1246" s="11">
        <v>157</v>
      </c>
      <c r="AE1246" s="11">
        <v>0.9</v>
      </c>
      <c r="AF1246" s="11">
        <v>172</v>
      </c>
      <c r="AG1246" s="11">
        <v>1.5</v>
      </c>
      <c r="AH1246" s="11">
        <v>76</v>
      </c>
      <c r="AI1246" s="11" t="s">
        <v>49</v>
      </c>
      <c r="AJ1246" s="11">
        <v>61</v>
      </c>
      <c r="AK1246" s="11" t="s">
        <v>44</v>
      </c>
      <c r="AL1246" s="11" t="s">
        <v>44</v>
      </c>
      <c r="AM1246" s="10" t="s">
        <v>44</v>
      </c>
      <c r="AN1246" s="9">
        <v>525</v>
      </c>
      <c r="AO1246" s="8" t="s">
        <v>270</v>
      </c>
      <c r="AP1246" s="8">
        <v>1020</v>
      </c>
      <c r="AQ1246" s="8" t="s">
        <v>45</v>
      </c>
      <c r="AR1246" s="8" t="s">
        <v>44</v>
      </c>
      <c r="AS1246" s="8">
        <v>29.5</v>
      </c>
      <c r="AT1246" s="8">
        <v>41</v>
      </c>
      <c r="AU1246" s="8">
        <v>7.7</v>
      </c>
      <c r="AV1246" s="8">
        <v>63</v>
      </c>
      <c r="AW1246" s="8" t="s">
        <v>44</v>
      </c>
      <c r="AX1246" s="8">
        <v>111</v>
      </c>
      <c r="AY1246" s="8" t="s">
        <v>64</v>
      </c>
      <c r="AZ1246" s="8" t="s">
        <v>114</v>
      </c>
      <c r="BA1246" s="7" t="s">
        <v>46</v>
      </c>
      <c r="BB1246" s="9"/>
      <c r="BC1246" s="8" t="s">
        <v>269</v>
      </c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7"/>
    </row>
    <row r="1247" spans="1:68" ht="14.25" customHeight="1">
      <c r="A1247" s="12">
        <v>590</v>
      </c>
      <c r="B1247" s="14">
        <v>513</v>
      </c>
      <c r="C1247" s="13" t="s">
        <v>121</v>
      </c>
      <c r="D1247" s="13" t="s">
        <v>268</v>
      </c>
      <c r="E1247" s="13" t="s">
        <v>266</v>
      </c>
      <c r="F1247" s="11">
        <v>-8.6999999999999993</v>
      </c>
      <c r="G1247" s="11">
        <v>-6.6</v>
      </c>
      <c r="H1247" s="11">
        <v>2</v>
      </c>
      <c r="I1247" s="11">
        <v>11.9</v>
      </c>
      <c r="J1247" s="11">
        <v>18.2</v>
      </c>
      <c r="K1247" s="11">
        <v>22.9</v>
      </c>
      <c r="L1247" s="11">
        <v>24.9</v>
      </c>
      <c r="M1247" s="11">
        <v>22.6</v>
      </c>
      <c r="N1247" s="11">
        <v>16.600000000000001</v>
      </c>
      <c r="O1247" s="11">
        <v>9.1</v>
      </c>
      <c r="P1247" s="11">
        <v>0.1</v>
      </c>
      <c r="Q1247" s="11">
        <v>-6.3</v>
      </c>
      <c r="R1247" s="10">
        <v>8.9</v>
      </c>
      <c r="S1247" s="12">
        <v>513</v>
      </c>
      <c r="T1247" s="8" t="s">
        <v>266</v>
      </c>
      <c r="U1247" s="11">
        <v>-32</v>
      </c>
      <c r="V1247" s="11">
        <v>-29</v>
      </c>
      <c r="W1247" s="11">
        <v>-27</v>
      </c>
      <c r="X1247" s="11">
        <v>-24</v>
      </c>
      <c r="Y1247" s="11" t="s">
        <v>49</v>
      </c>
      <c r="Z1247" s="11" t="s">
        <v>44</v>
      </c>
      <c r="AA1247" s="11">
        <v>10.4</v>
      </c>
      <c r="AB1247" s="11">
        <v>113</v>
      </c>
      <c r="AC1247" s="11">
        <v>-5.6</v>
      </c>
      <c r="AD1247" s="11">
        <v>166</v>
      </c>
      <c r="AE1247" s="11">
        <v>-2.5</v>
      </c>
      <c r="AF1247" s="11">
        <v>179</v>
      </c>
      <c r="AG1247" s="11">
        <v>-1.6</v>
      </c>
      <c r="AH1247" s="11">
        <v>72</v>
      </c>
      <c r="AI1247" s="11" t="s">
        <v>49</v>
      </c>
      <c r="AJ1247" s="11">
        <v>112</v>
      </c>
      <c r="AK1247" s="11" t="s">
        <v>199</v>
      </c>
      <c r="AL1247" s="11">
        <v>4.3</v>
      </c>
      <c r="AM1247" s="10">
        <v>3.3</v>
      </c>
      <c r="AN1247" s="9">
        <v>513</v>
      </c>
      <c r="AO1247" s="8" t="s">
        <v>267</v>
      </c>
      <c r="AP1247" s="8" t="s">
        <v>64</v>
      </c>
      <c r="AQ1247" s="8" t="s">
        <v>45</v>
      </c>
      <c r="AR1247" s="8" t="s">
        <v>44</v>
      </c>
      <c r="AS1247" s="8">
        <v>33.1</v>
      </c>
      <c r="AT1247" s="8">
        <v>46</v>
      </c>
      <c r="AU1247" s="8">
        <v>17.3</v>
      </c>
      <c r="AV1247" s="8">
        <v>44</v>
      </c>
      <c r="AW1247" s="8" t="s">
        <v>44</v>
      </c>
      <c r="AX1247" s="8">
        <v>104</v>
      </c>
      <c r="AY1247" s="8" t="s">
        <v>64</v>
      </c>
      <c r="AZ1247" s="8" t="s">
        <v>37</v>
      </c>
      <c r="BA1247" s="7">
        <v>3.6</v>
      </c>
      <c r="BB1247" s="9"/>
      <c r="BC1247" s="8" t="s">
        <v>266</v>
      </c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7"/>
    </row>
    <row r="1248" spans="1:68" ht="14.25" customHeight="1">
      <c r="A1248" s="12">
        <v>591</v>
      </c>
      <c r="B1248" s="14">
        <v>367</v>
      </c>
      <c r="C1248" s="13" t="s">
        <v>30</v>
      </c>
      <c r="D1248" s="13" t="s">
        <v>86</v>
      </c>
      <c r="E1248" s="13" t="s">
        <v>263</v>
      </c>
      <c r="F1248" s="11">
        <v>-22.3</v>
      </c>
      <c r="G1248" s="11">
        <v>-17.2</v>
      </c>
      <c r="H1248" s="11">
        <v>-8.5</v>
      </c>
      <c r="I1248" s="11">
        <v>3.1</v>
      </c>
      <c r="J1248" s="11">
        <v>11.1</v>
      </c>
      <c r="K1248" s="11">
        <v>17.399999999999999</v>
      </c>
      <c r="L1248" s="11">
        <v>21.1</v>
      </c>
      <c r="M1248" s="11">
        <v>20</v>
      </c>
      <c r="N1248" s="11">
        <v>13.9</v>
      </c>
      <c r="O1248" s="11">
        <v>4.7</v>
      </c>
      <c r="P1248" s="11">
        <v>-8.1</v>
      </c>
      <c r="Q1248" s="11">
        <v>-18.5</v>
      </c>
      <c r="R1248" s="10">
        <v>1.4</v>
      </c>
      <c r="S1248" s="12">
        <v>367</v>
      </c>
      <c r="T1248" s="8" t="s">
        <v>265</v>
      </c>
      <c r="U1248" s="11">
        <v>-37</v>
      </c>
      <c r="V1248" s="11">
        <v>-34</v>
      </c>
      <c r="W1248" s="11">
        <v>-34</v>
      </c>
      <c r="X1248" s="11">
        <v>-31</v>
      </c>
      <c r="Y1248" s="11">
        <v>-27</v>
      </c>
      <c r="Z1248" s="11">
        <v>-43</v>
      </c>
      <c r="AA1248" s="11">
        <v>7.7</v>
      </c>
      <c r="AB1248" s="11">
        <v>162</v>
      </c>
      <c r="AC1248" s="11">
        <v>-13.4</v>
      </c>
      <c r="AD1248" s="11">
        <v>211</v>
      </c>
      <c r="AE1248" s="11">
        <v>-9.3000000000000007</v>
      </c>
      <c r="AF1248" s="11">
        <v>225</v>
      </c>
      <c r="AG1248" s="11">
        <v>-8.1</v>
      </c>
      <c r="AH1248" s="11">
        <v>75</v>
      </c>
      <c r="AI1248" s="11">
        <v>71</v>
      </c>
      <c r="AJ1248" s="11">
        <v>116</v>
      </c>
      <c r="AK1248" s="11" t="s">
        <v>39</v>
      </c>
      <c r="AL1248" s="11">
        <v>5.9</v>
      </c>
      <c r="AM1248" s="10">
        <v>5.3</v>
      </c>
      <c r="AN1248" s="9">
        <v>367</v>
      </c>
      <c r="AO1248" s="8" t="s">
        <v>264</v>
      </c>
      <c r="AP1248" s="8">
        <v>1000</v>
      </c>
      <c r="AQ1248" s="8">
        <v>23.5</v>
      </c>
      <c r="AR1248" s="8">
        <v>26.9</v>
      </c>
      <c r="AS1248" s="8">
        <v>25.7</v>
      </c>
      <c r="AT1248" s="8">
        <v>40</v>
      </c>
      <c r="AU1248" s="8">
        <v>8.6</v>
      </c>
      <c r="AV1248" s="8">
        <v>78</v>
      </c>
      <c r="AW1248" s="8">
        <v>67</v>
      </c>
      <c r="AX1248" s="8">
        <v>556</v>
      </c>
      <c r="AY1248" s="8">
        <v>99</v>
      </c>
      <c r="AZ1248" s="8" t="s">
        <v>82</v>
      </c>
      <c r="BA1248" s="7">
        <v>4.5999999999999996</v>
      </c>
      <c r="BB1248" s="9">
        <v>332</v>
      </c>
      <c r="BC1248" s="8" t="s">
        <v>263</v>
      </c>
      <c r="BD1248" s="8">
        <v>0.9</v>
      </c>
      <c r="BE1248" s="8">
        <v>1.2</v>
      </c>
      <c r="BF1248" s="8">
        <v>2.4</v>
      </c>
      <c r="BG1248" s="8">
        <v>4.7</v>
      </c>
      <c r="BH1248" s="8">
        <v>8.1</v>
      </c>
      <c r="BI1248" s="8">
        <v>14.4</v>
      </c>
      <c r="BJ1248" s="8">
        <v>19.600000000000001</v>
      </c>
      <c r="BK1248" s="8">
        <v>18.600000000000001</v>
      </c>
      <c r="BL1248" s="8">
        <v>11.9</v>
      </c>
      <c r="BM1248" s="8">
        <v>5.7</v>
      </c>
      <c r="BN1248" s="8">
        <v>2.5</v>
      </c>
      <c r="BO1248" s="8">
        <v>1.2</v>
      </c>
      <c r="BP1248" s="7">
        <v>7.6</v>
      </c>
    </row>
    <row r="1249" spans="1:68" ht="14.25" customHeight="1">
      <c r="A1249" s="12">
        <v>592</v>
      </c>
      <c r="B1249" s="14">
        <v>546</v>
      </c>
      <c r="C1249" s="13" t="s">
        <v>158</v>
      </c>
      <c r="D1249" s="13" t="s">
        <v>262</v>
      </c>
      <c r="E1249" s="13" t="s">
        <v>260</v>
      </c>
      <c r="F1249" s="11">
        <v>-6.8</v>
      </c>
      <c r="G1249" s="11">
        <v>-5.0999999999999996</v>
      </c>
      <c r="H1249" s="11">
        <v>0.3</v>
      </c>
      <c r="I1249" s="11">
        <v>7</v>
      </c>
      <c r="J1249" s="11">
        <v>12.2</v>
      </c>
      <c r="K1249" s="11">
        <v>15.8</v>
      </c>
      <c r="L1249" s="11">
        <v>18.5</v>
      </c>
      <c r="M1249" s="11">
        <v>18</v>
      </c>
      <c r="N1249" s="11">
        <v>13.3</v>
      </c>
      <c r="O1249" s="11">
        <v>6.6</v>
      </c>
      <c r="P1249" s="11">
        <v>0.8</v>
      </c>
      <c r="Q1249" s="11">
        <v>-3.2</v>
      </c>
      <c r="R1249" s="10">
        <v>6.4</v>
      </c>
      <c r="S1249" s="12">
        <v>546</v>
      </c>
      <c r="T1249" s="8" t="s">
        <v>260</v>
      </c>
      <c r="U1249" s="11">
        <v>-20</v>
      </c>
      <c r="V1249" s="11">
        <v>-19</v>
      </c>
      <c r="W1249" s="11">
        <v>-17</v>
      </c>
      <c r="X1249" s="11">
        <v>-16</v>
      </c>
      <c r="Y1249" s="11" t="s">
        <v>49</v>
      </c>
      <c r="Z1249" s="11" t="s">
        <v>44</v>
      </c>
      <c r="AA1249" s="11" t="s">
        <v>49</v>
      </c>
      <c r="AB1249" s="11" t="s">
        <v>84</v>
      </c>
      <c r="AC1249" s="11" t="s">
        <v>45</v>
      </c>
      <c r="AD1249" s="11" t="s">
        <v>84</v>
      </c>
      <c r="AE1249" s="11" t="s">
        <v>44</v>
      </c>
      <c r="AF1249" s="11" t="s">
        <v>114</v>
      </c>
      <c r="AG1249" s="11" t="s">
        <v>44</v>
      </c>
      <c r="AH1249" s="11" t="s">
        <v>49</v>
      </c>
      <c r="AI1249" s="11">
        <v>52</v>
      </c>
      <c r="AJ1249" s="11">
        <v>233</v>
      </c>
      <c r="AK1249" s="11" t="s">
        <v>44</v>
      </c>
      <c r="AL1249" s="11" t="s">
        <v>44</v>
      </c>
      <c r="AM1249" s="10" t="s">
        <v>44</v>
      </c>
      <c r="AN1249" s="9">
        <v>546</v>
      </c>
      <c r="AO1249" s="8" t="s">
        <v>261</v>
      </c>
      <c r="AP1249" s="8" t="s">
        <v>64</v>
      </c>
      <c r="AQ1249" s="8" t="s">
        <v>45</v>
      </c>
      <c r="AR1249" s="8" t="s">
        <v>44</v>
      </c>
      <c r="AS1249" s="8" t="s">
        <v>45</v>
      </c>
      <c r="AT1249" s="8">
        <v>33</v>
      </c>
      <c r="AU1249" s="8" t="s">
        <v>46</v>
      </c>
      <c r="AV1249" s="8">
        <v>42</v>
      </c>
      <c r="AW1249" s="8">
        <v>32</v>
      </c>
      <c r="AX1249" s="8">
        <v>323</v>
      </c>
      <c r="AY1249" s="8">
        <v>54</v>
      </c>
      <c r="AZ1249" s="8" t="s">
        <v>114</v>
      </c>
      <c r="BA1249" s="7" t="s">
        <v>46</v>
      </c>
      <c r="BB1249" s="9"/>
      <c r="BC1249" s="8" t="s">
        <v>260</v>
      </c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7"/>
    </row>
    <row r="1250" spans="1:68" ht="14.25" customHeight="1">
      <c r="A1250" s="12">
        <v>593</v>
      </c>
      <c r="B1250" s="14">
        <v>339</v>
      </c>
      <c r="C1250" s="13" t="s">
        <v>30</v>
      </c>
      <c r="D1250" s="13" t="s">
        <v>259</v>
      </c>
      <c r="E1250" s="13" t="s">
        <v>256</v>
      </c>
      <c r="F1250" s="11">
        <v>-21.7</v>
      </c>
      <c r="G1250" s="11">
        <v>-19.399999999999999</v>
      </c>
      <c r="H1250" s="11">
        <v>-9.8000000000000007</v>
      </c>
      <c r="I1250" s="11">
        <v>-1.3</v>
      </c>
      <c r="J1250" s="11">
        <v>6.4</v>
      </c>
      <c r="K1250" s="11">
        <v>13.1</v>
      </c>
      <c r="L1250" s="11">
        <v>17.8</v>
      </c>
      <c r="M1250" s="11">
        <v>13.3</v>
      </c>
      <c r="N1250" s="11">
        <v>8</v>
      </c>
      <c r="O1250" s="11">
        <v>-1.9</v>
      </c>
      <c r="P1250" s="11">
        <v>-10.7</v>
      </c>
      <c r="Q1250" s="11">
        <v>-17.100000000000001</v>
      </c>
      <c r="R1250" s="10">
        <v>-1.9</v>
      </c>
      <c r="S1250" s="12">
        <v>339</v>
      </c>
      <c r="T1250" s="8" t="s">
        <v>258</v>
      </c>
      <c r="U1250" s="11">
        <v>-47</v>
      </c>
      <c r="V1250" s="11">
        <v>-45</v>
      </c>
      <c r="W1250" s="11">
        <v>-45</v>
      </c>
      <c r="X1250" s="11">
        <v>-41</v>
      </c>
      <c r="Y1250" s="11">
        <v>-27</v>
      </c>
      <c r="Z1250" s="11">
        <v>-49</v>
      </c>
      <c r="AA1250" s="11">
        <v>8.6999999999999993</v>
      </c>
      <c r="AB1250" s="11">
        <v>192</v>
      </c>
      <c r="AC1250" s="11">
        <v>-12.6</v>
      </c>
      <c r="AD1250" s="11">
        <v>250</v>
      </c>
      <c r="AE1250" s="11">
        <v>-8.8000000000000007</v>
      </c>
      <c r="AF1250" s="11">
        <v>270</v>
      </c>
      <c r="AG1250" s="11">
        <v>-7.4</v>
      </c>
      <c r="AH1250" s="11">
        <v>82</v>
      </c>
      <c r="AI1250" s="11">
        <v>81</v>
      </c>
      <c r="AJ1250" s="11">
        <v>139</v>
      </c>
      <c r="AK1250" s="11" t="s">
        <v>39</v>
      </c>
      <c r="AL1250" s="11">
        <v>6.9</v>
      </c>
      <c r="AM1250" s="10" t="s">
        <v>44</v>
      </c>
      <c r="AN1250" s="9">
        <v>339</v>
      </c>
      <c r="AO1250" s="8" t="s">
        <v>257</v>
      </c>
      <c r="AP1250" s="8">
        <v>1005</v>
      </c>
      <c r="AQ1250" s="8">
        <v>20.2</v>
      </c>
      <c r="AR1250" s="8">
        <v>24.5</v>
      </c>
      <c r="AS1250" s="8">
        <v>22.6</v>
      </c>
      <c r="AT1250" s="8">
        <v>34</v>
      </c>
      <c r="AU1250" s="8">
        <v>9.1999999999999993</v>
      </c>
      <c r="AV1250" s="8">
        <v>70</v>
      </c>
      <c r="AW1250" s="8">
        <v>60</v>
      </c>
      <c r="AX1250" s="8">
        <v>428</v>
      </c>
      <c r="AY1250" s="8">
        <v>52</v>
      </c>
      <c r="AZ1250" s="8" t="s">
        <v>37</v>
      </c>
      <c r="BA1250" s="7">
        <v>4.9000000000000004</v>
      </c>
      <c r="BB1250" s="9">
        <v>307</v>
      </c>
      <c r="BC1250" s="8" t="s">
        <v>256</v>
      </c>
      <c r="BD1250" s="8">
        <v>1.2</v>
      </c>
      <c r="BE1250" s="8">
        <v>1.3</v>
      </c>
      <c r="BF1250" s="8">
        <v>2.5</v>
      </c>
      <c r="BG1250" s="8">
        <v>4.0999999999999996</v>
      </c>
      <c r="BH1250" s="8">
        <v>6.3</v>
      </c>
      <c r="BI1250" s="8">
        <v>10.4</v>
      </c>
      <c r="BJ1250" s="8">
        <v>14.8</v>
      </c>
      <c r="BK1250" s="8">
        <v>12.3</v>
      </c>
      <c r="BL1250" s="8">
        <v>9</v>
      </c>
      <c r="BM1250" s="8">
        <v>4.8</v>
      </c>
      <c r="BN1250" s="8">
        <v>2.8</v>
      </c>
      <c r="BO1250" s="8">
        <v>1.7</v>
      </c>
      <c r="BP1250" s="7">
        <v>5.9</v>
      </c>
    </row>
    <row r="1251" spans="1:68" ht="14.25" customHeight="1">
      <c r="A1251" s="12">
        <v>594</v>
      </c>
      <c r="B1251" s="14">
        <v>640</v>
      </c>
      <c r="C1251" s="13" t="s">
        <v>52</v>
      </c>
      <c r="D1251" s="13" t="s">
        <v>255</v>
      </c>
      <c r="E1251" s="13" t="s">
        <v>253</v>
      </c>
      <c r="F1251" s="11">
        <v>-7</v>
      </c>
      <c r="G1251" s="11">
        <v>-5.7</v>
      </c>
      <c r="H1251" s="11">
        <v>-0.3</v>
      </c>
      <c r="I1251" s="11">
        <v>8.9</v>
      </c>
      <c r="J1251" s="11">
        <v>15.6</v>
      </c>
      <c r="K1251" s="11">
        <v>19</v>
      </c>
      <c r="L1251" s="11">
        <v>20.399999999999999</v>
      </c>
      <c r="M1251" s="11">
        <v>19.5</v>
      </c>
      <c r="N1251" s="11">
        <v>14.1</v>
      </c>
      <c r="O1251" s="11">
        <v>7.3</v>
      </c>
      <c r="P1251" s="11">
        <v>1.3</v>
      </c>
      <c r="Q1251" s="11">
        <v>-3.3</v>
      </c>
      <c r="R1251" s="10">
        <v>7.5</v>
      </c>
      <c r="S1251" s="12">
        <v>629</v>
      </c>
      <c r="T1251" s="8" t="s">
        <v>253</v>
      </c>
      <c r="U1251" s="11">
        <v>-31</v>
      </c>
      <c r="V1251" s="11">
        <v>-28</v>
      </c>
      <c r="W1251" s="11">
        <v>-26</v>
      </c>
      <c r="X1251" s="11">
        <v>-23</v>
      </c>
      <c r="Y1251" s="11">
        <v>-11</v>
      </c>
      <c r="Z1251" s="11">
        <v>-36</v>
      </c>
      <c r="AA1251" s="11" t="s">
        <v>49</v>
      </c>
      <c r="AB1251" s="11">
        <v>113</v>
      </c>
      <c r="AC1251" s="11">
        <v>-4.5999999999999996</v>
      </c>
      <c r="AD1251" s="11">
        <v>179</v>
      </c>
      <c r="AE1251" s="11">
        <v>-1.5</v>
      </c>
      <c r="AF1251" s="11">
        <v>194</v>
      </c>
      <c r="AG1251" s="11">
        <v>-0.7</v>
      </c>
      <c r="AH1251" s="11" t="s">
        <v>49</v>
      </c>
      <c r="AI1251" s="11" t="s">
        <v>49</v>
      </c>
      <c r="AJ1251" s="11">
        <v>192</v>
      </c>
      <c r="AK1251" s="11" t="s">
        <v>66</v>
      </c>
      <c r="AL1251" s="11">
        <v>6.5</v>
      </c>
      <c r="AM1251" s="10" t="s">
        <v>44</v>
      </c>
      <c r="AN1251" s="9">
        <v>630</v>
      </c>
      <c r="AO1251" s="8" t="s">
        <v>254</v>
      </c>
      <c r="AP1251" s="8">
        <v>1000</v>
      </c>
      <c r="AQ1251" s="8">
        <v>29</v>
      </c>
      <c r="AR1251" s="8">
        <v>25</v>
      </c>
      <c r="AS1251" s="8">
        <v>26.4</v>
      </c>
      <c r="AT1251" s="8">
        <v>39</v>
      </c>
      <c r="AU1251" s="8" t="s">
        <v>46</v>
      </c>
      <c r="AV1251" s="8" t="s">
        <v>45</v>
      </c>
      <c r="AW1251" s="8" t="s">
        <v>44</v>
      </c>
      <c r="AX1251" s="8" t="s">
        <v>44</v>
      </c>
      <c r="AY1251" s="8">
        <v>83</v>
      </c>
      <c r="AZ1251" s="8" t="s">
        <v>32</v>
      </c>
      <c r="BA1251" s="7">
        <v>1.2</v>
      </c>
      <c r="BB1251" s="9"/>
      <c r="BC1251" s="8" t="s">
        <v>253</v>
      </c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7"/>
    </row>
    <row r="1252" spans="1:68" ht="14.25" customHeight="1">
      <c r="A1252" s="12">
        <v>595</v>
      </c>
      <c r="B1252" s="14">
        <v>192</v>
      </c>
      <c r="C1252" s="13" t="s">
        <v>30</v>
      </c>
      <c r="D1252" s="13" t="s">
        <v>29</v>
      </c>
      <c r="E1252" s="13" t="s">
        <v>250</v>
      </c>
      <c r="F1252" s="11">
        <v>-33.1</v>
      </c>
      <c r="G1252" s="11">
        <v>-31.7</v>
      </c>
      <c r="H1252" s="11">
        <v>-27.8</v>
      </c>
      <c r="I1252" s="11">
        <v>-18</v>
      </c>
      <c r="J1252" s="11">
        <v>-7</v>
      </c>
      <c r="K1252" s="11">
        <v>5.2</v>
      </c>
      <c r="L1252" s="11">
        <v>12.7</v>
      </c>
      <c r="M1252" s="11">
        <v>9</v>
      </c>
      <c r="N1252" s="11">
        <v>1.7</v>
      </c>
      <c r="O1252" s="11">
        <v>-12</v>
      </c>
      <c r="P1252" s="11">
        <v>-26.4</v>
      </c>
      <c r="Q1252" s="11">
        <v>-29.6</v>
      </c>
      <c r="R1252" s="10">
        <v>-13.1</v>
      </c>
      <c r="S1252" s="12">
        <v>192</v>
      </c>
      <c r="T1252" s="8" t="s">
        <v>252</v>
      </c>
      <c r="U1252" s="11">
        <v>-55</v>
      </c>
      <c r="V1252" s="11">
        <v>-52</v>
      </c>
      <c r="W1252" s="11">
        <v>-52</v>
      </c>
      <c r="X1252" s="11">
        <v>-49</v>
      </c>
      <c r="Y1252" s="11">
        <v>-38</v>
      </c>
      <c r="Z1252" s="11">
        <v>-59</v>
      </c>
      <c r="AA1252" s="11">
        <v>8.3000000000000007</v>
      </c>
      <c r="AB1252" s="11">
        <v>256</v>
      </c>
      <c r="AC1252" s="11">
        <v>-21.6</v>
      </c>
      <c r="AD1252" s="11">
        <v>311</v>
      </c>
      <c r="AE1252" s="11">
        <v>-17.100000000000001</v>
      </c>
      <c r="AF1252" s="11">
        <v>331</v>
      </c>
      <c r="AG1252" s="11">
        <v>-15.4</v>
      </c>
      <c r="AH1252" s="11">
        <v>79</v>
      </c>
      <c r="AI1252" s="11">
        <v>79</v>
      </c>
      <c r="AJ1252" s="11">
        <v>91</v>
      </c>
      <c r="AK1252" s="11" t="s">
        <v>39</v>
      </c>
      <c r="AL1252" s="11">
        <v>5.8</v>
      </c>
      <c r="AM1252" s="10">
        <v>4.8</v>
      </c>
      <c r="AN1252" s="9">
        <v>192</v>
      </c>
      <c r="AO1252" s="8" t="s">
        <v>251</v>
      </c>
      <c r="AP1252" s="8">
        <v>1010</v>
      </c>
      <c r="AQ1252" s="8">
        <v>15.2</v>
      </c>
      <c r="AR1252" s="8">
        <v>19.7</v>
      </c>
      <c r="AS1252" s="8">
        <v>17.600000000000001</v>
      </c>
      <c r="AT1252" s="8">
        <v>37</v>
      </c>
      <c r="AU1252" s="8">
        <v>9</v>
      </c>
      <c r="AV1252" s="8">
        <v>69</v>
      </c>
      <c r="AW1252" s="8">
        <v>61</v>
      </c>
      <c r="AX1252" s="8">
        <v>264</v>
      </c>
      <c r="AY1252" s="8" t="s">
        <v>64</v>
      </c>
      <c r="AZ1252" s="8" t="s">
        <v>37</v>
      </c>
      <c r="BA1252" s="7">
        <v>5.2</v>
      </c>
      <c r="BB1252" s="9"/>
      <c r="BC1252" s="8" t="s">
        <v>250</v>
      </c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7"/>
    </row>
    <row r="1253" spans="1:68" ht="14.25" customHeight="1">
      <c r="A1253" s="12">
        <v>596</v>
      </c>
      <c r="B1253" s="14">
        <v>643</v>
      </c>
      <c r="C1253" s="13" t="s">
        <v>52</v>
      </c>
      <c r="D1253" s="13" t="s">
        <v>249</v>
      </c>
      <c r="E1253" s="13" t="s">
        <v>247</v>
      </c>
      <c r="F1253" s="11">
        <v>-3</v>
      </c>
      <c r="G1253" s="11">
        <v>-1.8</v>
      </c>
      <c r="H1253" s="11">
        <v>2.2999999999999998</v>
      </c>
      <c r="I1253" s="11">
        <v>10</v>
      </c>
      <c r="J1253" s="11">
        <v>16</v>
      </c>
      <c r="K1253" s="11">
        <v>19.899999999999999</v>
      </c>
      <c r="L1253" s="11">
        <v>21.9</v>
      </c>
      <c r="M1253" s="11">
        <v>21.3</v>
      </c>
      <c r="N1253" s="11">
        <v>16.399999999999999</v>
      </c>
      <c r="O1253" s="11">
        <v>9.8000000000000007</v>
      </c>
      <c r="P1253" s="11">
        <v>4.5</v>
      </c>
      <c r="Q1253" s="11">
        <v>0.1</v>
      </c>
      <c r="R1253" s="10">
        <v>9.8000000000000007</v>
      </c>
      <c r="S1253" s="12">
        <v>632</v>
      </c>
      <c r="T1253" s="8" t="s">
        <v>247</v>
      </c>
      <c r="U1253" s="11">
        <v>-27</v>
      </c>
      <c r="V1253" s="11">
        <v>-23</v>
      </c>
      <c r="W1253" s="11">
        <v>-23</v>
      </c>
      <c r="X1253" s="11">
        <v>-19</v>
      </c>
      <c r="Y1253" s="11">
        <v>-7</v>
      </c>
      <c r="Z1253" s="11">
        <v>-32</v>
      </c>
      <c r="AA1253" s="11" t="s">
        <v>49</v>
      </c>
      <c r="AB1253" s="11">
        <v>77</v>
      </c>
      <c r="AC1253" s="11">
        <v>-2.1</v>
      </c>
      <c r="AD1253" s="11">
        <v>163</v>
      </c>
      <c r="AE1253" s="11">
        <v>1</v>
      </c>
      <c r="AF1253" s="11">
        <v>180</v>
      </c>
      <c r="AG1253" s="11">
        <v>1.8</v>
      </c>
      <c r="AH1253" s="11" t="s">
        <v>49</v>
      </c>
      <c r="AI1253" s="11" t="s">
        <v>49</v>
      </c>
      <c r="AJ1253" s="11">
        <v>165</v>
      </c>
      <c r="AK1253" s="11" t="s">
        <v>66</v>
      </c>
      <c r="AL1253" s="11" t="s">
        <v>44</v>
      </c>
      <c r="AM1253" s="10" t="s">
        <v>44</v>
      </c>
      <c r="AN1253" s="9">
        <v>633</v>
      </c>
      <c r="AO1253" s="8" t="s">
        <v>248</v>
      </c>
      <c r="AP1253" s="8">
        <v>1010</v>
      </c>
      <c r="AQ1253" s="8">
        <v>30</v>
      </c>
      <c r="AR1253" s="8">
        <v>26</v>
      </c>
      <c r="AS1253" s="8">
        <v>28</v>
      </c>
      <c r="AT1253" s="8">
        <v>39</v>
      </c>
      <c r="AU1253" s="8" t="s">
        <v>46</v>
      </c>
      <c r="AV1253" s="8" t="s">
        <v>45</v>
      </c>
      <c r="AW1253" s="8" t="s">
        <v>44</v>
      </c>
      <c r="AX1253" s="8" t="s">
        <v>44</v>
      </c>
      <c r="AY1253" s="8">
        <v>86</v>
      </c>
      <c r="AZ1253" s="8" t="s">
        <v>32</v>
      </c>
      <c r="BA1253" s="7">
        <v>2.2999999999999998</v>
      </c>
      <c r="BB1253" s="9"/>
      <c r="BC1253" s="8" t="s">
        <v>247</v>
      </c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7"/>
    </row>
    <row r="1254" spans="1:68" ht="14.25" customHeight="1">
      <c r="A1254" s="12">
        <v>597</v>
      </c>
      <c r="B1254" s="14">
        <v>644</v>
      </c>
      <c r="C1254" s="13" t="s">
        <v>52</v>
      </c>
      <c r="D1254" s="13" t="s">
        <v>246</v>
      </c>
      <c r="E1254" s="13" t="s">
        <v>243</v>
      </c>
      <c r="F1254" s="11">
        <v>-5.5</v>
      </c>
      <c r="G1254" s="11">
        <v>-4</v>
      </c>
      <c r="H1254" s="11">
        <v>0.3</v>
      </c>
      <c r="I1254" s="11">
        <v>7.8</v>
      </c>
      <c r="J1254" s="11">
        <v>13.9</v>
      </c>
      <c r="K1254" s="11">
        <v>16.8</v>
      </c>
      <c r="L1254" s="11">
        <v>18</v>
      </c>
      <c r="M1254" s="11">
        <v>17.399999999999999</v>
      </c>
      <c r="N1254" s="11">
        <v>13.2</v>
      </c>
      <c r="O1254" s="11">
        <v>7.6</v>
      </c>
      <c r="P1254" s="11">
        <v>2</v>
      </c>
      <c r="Q1254" s="11">
        <v>-2.6</v>
      </c>
      <c r="R1254" s="10">
        <v>7.1</v>
      </c>
      <c r="S1254" s="12">
        <v>633</v>
      </c>
      <c r="T1254" s="8" t="s">
        <v>243</v>
      </c>
      <c r="U1254" s="11">
        <v>-26</v>
      </c>
      <c r="V1254" s="11">
        <v>-25</v>
      </c>
      <c r="W1254" s="11">
        <v>-22</v>
      </c>
      <c r="X1254" s="11">
        <v>-21</v>
      </c>
      <c r="Y1254" s="11">
        <v>-9</v>
      </c>
      <c r="Z1254" s="11">
        <v>-32</v>
      </c>
      <c r="AA1254" s="11" t="s">
        <v>49</v>
      </c>
      <c r="AB1254" s="11">
        <v>106</v>
      </c>
      <c r="AC1254" s="11">
        <v>-3.6</v>
      </c>
      <c r="AD1254" s="11">
        <v>181</v>
      </c>
      <c r="AE1254" s="11">
        <v>-0.5</v>
      </c>
      <c r="AF1254" s="11">
        <v>200</v>
      </c>
      <c r="AG1254" s="11">
        <v>0.4</v>
      </c>
      <c r="AH1254" s="11" t="s">
        <v>49</v>
      </c>
      <c r="AI1254" s="11" t="s">
        <v>49</v>
      </c>
      <c r="AJ1254" s="11">
        <v>195</v>
      </c>
      <c r="AK1254" s="11" t="s">
        <v>27</v>
      </c>
      <c r="AL1254" s="11" t="s">
        <v>44</v>
      </c>
      <c r="AM1254" s="10" t="s">
        <v>44</v>
      </c>
      <c r="AN1254" s="9">
        <v>634</v>
      </c>
      <c r="AO1254" s="8" t="s">
        <v>245</v>
      </c>
      <c r="AP1254" s="8">
        <v>980</v>
      </c>
      <c r="AQ1254" s="8">
        <v>26</v>
      </c>
      <c r="AR1254" s="8">
        <v>20</v>
      </c>
      <c r="AS1254" s="8">
        <v>23.7</v>
      </c>
      <c r="AT1254" s="8">
        <v>37</v>
      </c>
      <c r="AU1254" s="8" t="s">
        <v>46</v>
      </c>
      <c r="AV1254" s="8" t="s">
        <v>45</v>
      </c>
      <c r="AW1254" s="8" t="s">
        <v>44</v>
      </c>
      <c r="AX1254" s="8" t="s">
        <v>244</v>
      </c>
      <c r="AY1254" s="8">
        <v>106</v>
      </c>
      <c r="AZ1254" s="8" t="s">
        <v>54</v>
      </c>
      <c r="BA1254" s="7">
        <v>1.4</v>
      </c>
      <c r="BB1254" s="9"/>
      <c r="BC1254" s="8" t="s">
        <v>243</v>
      </c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7"/>
    </row>
    <row r="1255" spans="1:68" ht="14.25" customHeight="1">
      <c r="A1255" s="12">
        <v>598</v>
      </c>
      <c r="B1255" s="14">
        <v>455</v>
      </c>
      <c r="C1255" s="13" t="s">
        <v>30</v>
      </c>
      <c r="D1255" s="13" t="s">
        <v>230</v>
      </c>
      <c r="E1255" s="13" t="s">
        <v>241</v>
      </c>
      <c r="F1255" s="11">
        <v>-15.5</v>
      </c>
      <c r="G1255" s="11">
        <v>-16.899999999999999</v>
      </c>
      <c r="H1255" s="11">
        <v>-14.6</v>
      </c>
      <c r="I1255" s="11">
        <v>-8.6</v>
      </c>
      <c r="J1255" s="11">
        <v>-2.9</v>
      </c>
      <c r="K1255" s="11">
        <v>-2.5</v>
      </c>
      <c r="L1255" s="11">
        <v>8.3000000000000007</v>
      </c>
      <c r="M1255" s="11">
        <v>8.4</v>
      </c>
      <c r="N1255" s="11">
        <v>5.0999999999999996</v>
      </c>
      <c r="O1255" s="11">
        <v>-1</v>
      </c>
      <c r="P1255" s="11">
        <v>-6.9</v>
      </c>
      <c r="Q1255" s="11">
        <v>-11.7</v>
      </c>
      <c r="R1255" s="10">
        <v>-4.5</v>
      </c>
      <c r="S1255" s="12">
        <v>455</v>
      </c>
      <c r="T1255" s="8" t="s">
        <v>241</v>
      </c>
      <c r="U1255" s="11">
        <v>-39</v>
      </c>
      <c r="V1255" s="11">
        <v>-37</v>
      </c>
      <c r="W1255" s="11">
        <v>-34</v>
      </c>
      <c r="X1255" s="11">
        <v>-32</v>
      </c>
      <c r="Y1255" s="11">
        <v>-22</v>
      </c>
      <c r="Z1255" s="11">
        <v>-40</v>
      </c>
      <c r="AA1255" s="11">
        <v>8.6</v>
      </c>
      <c r="AB1255" s="11">
        <v>181</v>
      </c>
      <c r="AC1255" s="11">
        <v>-8.4</v>
      </c>
      <c r="AD1255" s="11">
        <v>330</v>
      </c>
      <c r="AE1255" s="11">
        <v>-6.2</v>
      </c>
      <c r="AF1255" s="11">
        <v>365</v>
      </c>
      <c r="AG1255" s="11">
        <v>-4.5</v>
      </c>
      <c r="AH1255" s="11">
        <v>86</v>
      </c>
      <c r="AI1255" s="11">
        <v>86</v>
      </c>
      <c r="AJ1255" s="11">
        <v>167</v>
      </c>
      <c r="AK1255" s="11" t="s">
        <v>39</v>
      </c>
      <c r="AL1255" s="11" t="s">
        <v>44</v>
      </c>
      <c r="AM1255" s="10">
        <v>6.6</v>
      </c>
      <c r="AN1255" s="9">
        <v>455</v>
      </c>
      <c r="AO1255" s="8" t="s">
        <v>242</v>
      </c>
      <c r="AP1255" s="8">
        <v>1010</v>
      </c>
      <c r="AQ1255" s="8">
        <v>9.3000000000000007</v>
      </c>
      <c r="AR1255" s="8">
        <v>14.1</v>
      </c>
      <c r="AS1255" s="8">
        <v>11.1</v>
      </c>
      <c r="AT1255" s="8">
        <v>29</v>
      </c>
      <c r="AU1255" s="8">
        <v>5.7</v>
      </c>
      <c r="AV1255" s="8">
        <v>89</v>
      </c>
      <c r="AW1255" s="8">
        <v>83</v>
      </c>
      <c r="AX1255" s="8">
        <v>275</v>
      </c>
      <c r="AY1255" s="8">
        <v>42</v>
      </c>
      <c r="AZ1255" s="8" t="s">
        <v>37</v>
      </c>
      <c r="BA1255" s="7" t="s">
        <v>46</v>
      </c>
      <c r="BB1255" s="9">
        <v>417</v>
      </c>
      <c r="BC1255" s="8" t="s">
        <v>241</v>
      </c>
      <c r="BD1255" s="8">
        <v>1.9</v>
      </c>
      <c r="BE1255" s="8">
        <v>1.8</v>
      </c>
      <c r="BF1255" s="8">
        <v>2.1</v>
      </c>
      <c r="BG1255" s="8">
        <v>3.2</v>
      </c>
      <c r="BH1255" s="8">
        <v>4.5</v>
      </c>
      <c r="BI1255" s="8">
        <v>6.7</v>
      </c>
      <c r="BJ1255" s="8">
        <v>9.8000000000000007</v>
      </c>
      <c r="BK1255" s="8">
        <v>10</v>
      </c>
      <c r="BL1255" s="8">
        <v>7.9</v>
      </c>
      <c r="BM1255" s="8">
        <v>5.2</v>
      </c>
      <c r="BN1255" s="8">
        <v>3.6</v>
      </c>
      <c r="BO1255" s="8">
        <v>2.6</v>
      </c>
      <c r="BP1255" s="7">
        <v>4.9000000000000004</v>
      </c>
    </row>
    <row r="1256" spans="1:68" ht="14.25" customHeight="1">
      <c r="A1256" s="12">
        <v>599</v>
      </c>
      <c r="B1256" s="14">
        <v>299</v>
      </c>
      <c r="C1256" s="13" t="s">
        <v>30</v>
      </c>
      <c r="D1256" s="13" t="s">
        <v>72</v>
      </c>
      <c r="E1256" s="13" t="s">
        <v>238</v>
      </c>
      <c r="F1256" s="11">
        <v>-9.6999999999999993</v>
      </c>
      <c r="G1256" s="11">
        <v>-8.6999999999999993</v>
      </c>
      <c r="H1256" s="11">
        <v>-4.2</v>
      </c>
      <c r="I1256" s="11">
        <v>2.2999999999999998</v>
      </c>
      <c r="J1256" s="11">
        <v>6.9</v>
      </c>
      <c r="K1256" s="11">
        <v>11.4</v>
      </c>
      <c r="L1256" s="11">
        <v>15.7</v>
      </c>
      <c r="M1256" s="11">
        <v>17.7</v>
      </c>
      <c r="N1256" s="11">
        <v>14.2</v>
      </c>
      <c r="O1256" s="11">
        <v>7.8</v>
      </c>
      <c r="P1256" s="11">
        <v>0</v>
      </c>
      <c r="Q1256" s="11">
        <v>-6.1</v>
      </c>
      <c r="R1256" s="10">
        <v>3.9</v>
      </c>
      <c r="S1256" s="12">
        <v>299</v>
      </c>
      <c r="T1256" s="8" t="s">
        <v>240</v>
      </c>
      <c r="U1256" s="11">
        <v>-22</v>
      </c>
      <c r="V1256" s="11">
        <v>-21</v>
      </c>
      <c r="W1256" s="11">
        <v>-19</v>
      </c>
      <c r="X1256" s="11">
        <v>-18</v>
      </c>
      <c r="Y1256" s="11">
        <v>-15</v>
      </c>
      <c r="Z1256" s="11">
        <v>-25</v>
      </c>
      <c r="AA1256" s="11">
        <v>5.9</v>
      </c>
      <c r="AB1256" s="11">
        <v>140</v>
      </c>
      <c r="AC1256" s="11">
        <v>-6</v>
      </c>
      <c r="AD1256" s="11">
        <v>220</v>
      </c>
      <c r="AE1256" s="11">
        <v>-2.2999999999999998</v>
      </c>
      <c r="AF1256" s="11">
        <v>244</v>
      </c>
      <c r="AG1256" s="11">
        <v>-1.2</v>
      </c>
      <c r="AH1256" s="11">
        <v>75</v>
      </c>
      <c r="AI1256" s="11">
        <v>68</v>
      </c>
      <c r="AJ1256" s="11">
        <v>305</v>
      </c>
      <c r="AK1256" s="11" t="s">
        <v>27</v>
      </c>
      <c r="AL1256" s="11">
        <v>10.7</v>
      </c>
      <c r="AM1256" s="10">
        <v>6.4</v>
      </c>
      <c r="AN1256" s="9">
        <v>293</v>
      </c>
      <c r="AO1256" s="8" t="s">
        <v>239</v>
      </c>
      <c r="AP1256" s="8">
        <v>1000</v>
      </c>
      <c r="AQ1256" s="8">
        <v>18.600000000000001</v>
      </c>
      <c r="AR1256" s="8">
        <v>23</v>
      </c>
      <c r="AS1256" s="8">
        <v>21</v>
      </c>
      <c r="AT1256" s="8">
        <v>30</v>
      </c>
      <c r="AU1256" s="8">
        <v>6.6</v>
      </c>
      <c r="AV1256" s="8">
        <v>83</v>
      </c>
      <c r="AW1256" s="8">
        <v>77</v>
      </c>
      <c r="AX1256" s="8">
        <v>559</v>
      </c>
      <c r="AY1256" s="8">
        <v>137</v>
      </c>
      <c r="AZ1256" s="8" t="s">
        <v>25</v>
      </c>
      <c r="BA1256" s="7">
        <v>0</v>
      </c>
      <c r="BB1256" s="9">
        <v>264</v>
      </c>
      <c r="BC1256" s="8" t="s">
        <v>238</v>
      </c>
      <c r="BD1256" s="8">
        <v>2.4</v>
      </c>
      <c r="BE1256" s="8">
        <v>2.4</v>
      </c>
      <c r="BF1256" s="8">
        <v>3.4</v>
      </c>
      <c r="BG1256" s="8">
        <v>5.5</v>
      </c>
      <c r="BH1256" s="8">
        <v>7.8</v>
      </c>
      <c r="BI1256" s="8">
        <v>11</v>
      </c>
      <c r="BJ1256" s="8">
        <v>15.3</v>
      </c>
      <c r="BK1256" s="8">
        <v>16.8</v>
      </c>
      <c r="BL1256" s="8">
        <v>12.8</v>
      </c>
      <c r="BM1256" s="8">
        <v>8</v>
      </c>
      <c r="BN1256" s="8">
        <v>4.5999999999999996</v>
      </c>
      <c r="BO1256" s="8">
        <v>3.1</v>
      </c>
      <c r="BP1256" s="7">
        <v>7.8</v>
      </c>
    </row>
    <row r="1257" spans="1:68" ht="14.25" customHeight="1">
      <c r="A1257" s="12">
        <v>600</v>
      </c>
      <c r="B1257" s="14">
        <v>63</v>
      </c>
      <c r="C1257" s="13" t="s">
        <v>30</v>
      </c>
      <c r="D1257" s="13" t="s">
        <v>237</v>
      </c>
      <c r="E1257" s="13" t="s">
        <v>234</v>
      </c>
      <c r="F1257" s="11">
        <v>-25.6</v>
      </c>
      <c r="G1257" s="11">
        <v>-22</v>
      </c>
      <c r="H1257" s="11">
        <v>-10.7</v>
      </c>
      <c r="I1257" s="11">
        <v>0.4</v>
      </c>
      <c r="J1257" s="11">
        <v>8.4</v>
      </c>
      <c r="K1257" s="11">
        <v>16.2</v>
      </c>
      <c r="L1257" s="11">
        <v>18.8</v>
      </c>
      <c r="M1257" s="11">
        <v>15.8</v>
      </c>
      <c r="N1257" s="11">
        <v>8</v>
      </c>
      <c r="O1257" s="11">
        <v>-1.1000000000000001</v>
      </c>
      <c r="P1257" s="11">
        <v>-13.4</v>
      </c>
      <c r="Q1257" s="11">
        <v>-21.9</v>
      </c>
      <c r="R1257" s="10">
        <v>-2.2999999999999998</v>
      </c>
      <c r="S1257" s="12">
        <v>63</v>
      </c>
      <c r="T1257" s="8" t="s">
        <v>236</v>
      </c>
      <c r="U1257" s="11">
        <v>-44</v>
      </c>
      <c r="V1257" s="11">
        <v>-41</v>
      </c>
      <c r="W1257" s="11">
        <v>-43</v>
      </c>
      <c r="X1257" s="11">
        <v>-39</v>
      </c>
      <c r="Y1257" s="11">
        <v>-31</v>
      </c>
      <c r="Z1257" s="11">
        <v>-49</v>
      </c>
      <c r="AA1257" s="11">
        <v>12.7</v>
      </c>
      <c r="AB1257" s="11">
        <v>184</v>
      </c>
      <c r="AC1257" s="11">
        <v>-15.4</v>
      </c>
      <c r="AD1257" s="11">
        <v>241</v>
      </c>
      <c r="AE1257" s="11">
        <v>-10.8</v>
      </c>
      <c r="AF1257" s="11">
        <v>257</v>
      </c>
      <c r="AG1257" s="11">
        <v>-9.6</v>
      </c>
      <c r="AH1257" s="11">
        <v>75</v>
      </c>
      <c r="AI1257" s="11">
        <v>72</v>
      </c>
      <c r="AJ1257" s="11">
        <v>25</v>
      </c>
      <c r="AK1257" s="11" t="s">
        <v>48</v>
      </c>
      <c r="AL1257" s="11" t="s">
        <v>44</v>
      </c>
      <c r="AM1257" s="10" t="s">
        <v>44</v>
      </c>
      <c r="AN1257" s="9">
        <v>63</v>
      </c>
      <c r="AO1257" s="8" t="s">
        <v>235</v>
      </c>
      <c r="AP1257" s="8">
        <v>930</v>
      </c>
      <c r="AQ1257" s="8" t="s">
        <v>45</v>
      </c>
      <c r="AR1257" s="8" t="s">
        <v>44</v>
      </c>
      <c r="AS1257" s="8">
        <v>25.9</v>
      </c>
      <c r="AT1257" s="8">
        <v>40</v>
      </c>
      <c r="AU1257" s="8">
        <v>13.9</v>
      </c>
      <c r="AV1257" s="8">
        <v>64</v>
      </c>
      <c r="AW1257" s="8">
        <v>48</v>
      </c>
      <c r="AX1257" s="8">
        <v>243</v>
      </c>
      <c r="AY1257" s="8" t="s">
        <v>64</v>
      </c>
      <c r="AZ1257" s="8" t="s">
        <v>43</v>
      </c>
      <c r="BA1257" s="7" t="s">
        <v>46</v>
      </c>
      <c r="BB1257" s="9">
        <v>49</v>
      </c>
      <c r="BC1257" s="8" t="s">
        <v>234</v>
      </c>
      <c r="BD1257" s="8">
        <v>0.8</v>
      </c>
      <c r="BE1257" s="8">
        <v>0.9</v>
      </c>
      <c r="BF1257" s="8">
        <v>1.9</v>
      </c>
      <c r="BG1257" s="8">
        <v>3.1</v>
      </c>
      <c r="BH1257" s="8">
        <v>5.0999999999999996</v>
      </c>
      <c r="BI1257" s="8">
        <v>9.8000000000000007</v>
      </c>
      <c r="BJ1257" s="8">
        <v>13.5</v>
      </c>
      <c r="BK1257" s="8">
        <v>12.1</v>
      </c>
      <c r="BL1257" s="8">
        <v>7.3</v>
      </c>
      <c r="BM1257" s="8">
        <v>3.8</v>
      </c>
      <c r="BN1257" s="8">
        <v>1.7</v>
      </c>
      <c r="BO1257" s="8">
        <v>1</v>
      </c>
      <c r="BP1257" s="7">
        <v>5.0999999999999996</v>
      </c>
    </row>
    <row r="1258" spans="1:68" ht="14.25" customHeight="1">
      <c r="A1258" s="12">
        <v>601</v>
      </c>
      <c r="B1258" s="14">
        <v>574</v>
      </c>
      <c r="C1258" s="13" t="s">
        <v>135</v>
      </c>
      <c r="D1258" s="13" t="s">
        <v>233</v>
      </c>
      <c r="E1258" s="13" t="s">
        <v>231</v>
      </c>
      <c r="F1258" s="11">
        <v>-7.7</v>
      </c>
      <c r="G1258" s="11">
        <v>-5.3</v>
      </c>
      <c r="H1258" s="11">
        <v>1.2</v>
      </c>
      <c r="I1258" s="11">
        <v>9.6999999999999993</v>
      </c>
      <c r="J1258" s="11">
        <v>14.8</v>
      </c>
      <c r="K1258" s="11">
        <v>19.2</v>
      </c>
      <c r="L1258" s="11">
        <v>22.7</v>
      </c>
      <c r="M1258" s="11">
        <v>22.8</v>
      </c>
      <c r="N1258" s="11">
        <v>18.2</v>
      </c>
      <c r="O1258" s="11">
        <v>10.8</v>
      </c>
      <c r="P1258" s="11">
        <v>3.4</v>
      </c>
      <c r="Q1258" s="11">
        <v>-3.4</v>
      </c>
      <c r="R1258" s="10">
        <v>8.9</v>
      </c>
      <c r="S1258" s="15"/>
      <c r="T1258" s="8" t="s">
        <v>232</v>
      </c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7"/>
      <c r="AN1258" s="9"/>
      <c r="AO1258" s="8" t="s">
        <v>232</v>
      </c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7"/>
      <c r="BB1258" s="9"/>
      <c r="BC1258" s="8" t="s">
        <v>231</v>
      </c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7"/>
    </row>
    <row r="1259" spans="1:68" ht="14.25" customHeight="1">
      <c r="A1259" s="12">
        <v>602</v>
      </c>
      <c r="B1259" s="14">
        <v>456</v>
      </c>
      <c r="C1259" s="13" t="s">
        <v>30</v>
      </c>
      <c r="D1259" s="13" t="s">
        <v>230</v>
      </c>
      <c r="E1259" s="13" t="s">
        <v>228</v>
      </c>
      <c r="F1259" s="11">
        <v>-19.600000000000001</v>
      </c>
      <c r="G1259" s="11">
        <v>-19.5</v>
      </c>
      <c r="H1259" s="11">
        <v>-15.8</v>
      </c>
      <c r="I1259" s="11">
        <v>-7.6</v>
      </c>
      <c r="J1259" s="11">
        <v>-1.1000000000000001</v>
      </c>
      <c r="K1259" s="11">
        <v>7.4</v>
      </c>
      <c r="L1259" s="11">
        <v>12.6</v>
      </c>
      <c r="M1259" s="11">
        <v>10.1</v>
      </c>
      <c r="N1259" s="11">
        <v>4.8</v>
      </c>
      <c r="O1259" s="11">
        <v>-3.5</v>
      </c>
      <c r="P1259" s="11">
        <v>-11.2</v>
      </c>
      <c r="Q1259" s="11">
        <v>-16.7</v>
      </c>
      <c r="R1259" s="10">
        <v>-5</v>
      </c>
      <c r="S1259" s="12">
        <v>456</v>
      </c>
      <c r="T1259" s="8" t="s">
        <v>228</v>
      </c>
      <c r="U1259" s="11">
        <v>-48</v>
      </c>
      <c r="V1259" s="11">
        <v>-46</v>
      </c>
      <c r="W1259" s="11">
        <v>-43</v>
      </c>
      <c r="X1259" s="11">
        <v>-42</v>
      </c>
      <c r="Y1259" s="11">
        <v>-25</v>
      </c>
      <c r="Z1259" s="11">
        <v>-53</v>
      </c>
      <c r="AA1259" s="11">
        <v>9.5</v>
      </c>
      <c r="AB1259" s="11">
        <v>229</v>
      </c>
      <c r="AC1259" s="11">
        <v>-13.3</v>
      </c>
      <c r="AD1259" s="11">
        <v>296</v>
      </c>
      <c r="AE1259" s="11">
        <v>-8.6</v>
      </c>
      <c r="AF1259" s="11">
        <v>318</v>
      </c>
      <c r="AG1259" s="11">
        <v>-7.3</v>
      </c>
      <c r="AH1259" s="11">
        <v>83</v>
      </c>
      <c r="AI1259" s="11">
        <v>82</v>
      </c>
      <c r="AJ1259" s="11">
        <v>118</v>
      </c>
      <c r="AK1259" s="11" t="s">
        <v>34</v>
      </c>
      <c r="AL1259" s="11">
        <v>7.2</v>
      </c>
      <c r="AM1259" s="10">
        <v>4.4000000000000004</v>
      </c>
      <c r="AN1259" s="9">
        <v>456</v>
      </c>
      <c r="AO1259" s="8" t="s">
        <v>229</v>
      </c>
      <c r="AP1259" s="8">
        <v>1000</v>
      </c>
      <c r="AQ1259" s="8">
        <v>16.399999999999999</v>
      </c>
      <c r="AR1259" s="8">
        <v>20.9</v>
      </c>
      <c r="AS1259" s="8">
        <v>18.8</v>
      </c>
      <c r="AT1259" s="8">
        <v>34</v>
      </c>
      <c r="AU1259" s="8">
        <v>12</v>
      </c>
      <c r="AV1259" s="8">
        <v>73</v>
      </c>
      <c r="AW1259" s="8">
        <v>57</v>
      </c>
      <c r="AX1259" s="8">
        <v>318</v>
      </c>
      <c r="AY1259" s="8">
        <v>51</v>
      </c>
      <c r="AZ1259" s="8" t="s">
        <v>54</v>
      </c>
      <c r="BA1259" s="7">
        <v>4.4000000000000004</v>
      </c>
      <c r="BB1259" s="9">
        <v>418</v>
      </c>
      <c r="BC1259" s="8" t="s">
        <v>228</v>
      </c>
      <c r="BD1259" s="8">
        <v>1.4</v>
      </c>
      <c r="BE1259" s="8">
        <v>1.4</v>
      </c>
      <c r="BF1259" s="8">
        <v>2</v>
      </c>
      <c r="BG1259" s="8">
        <v>3.3</v>
      </c>
      <c r="BH1259" s="8">
        <v>4.7</v>
      </c>
      <c r="BI1259" s="8">
        <v>7.5</v>
      </c>
      <c r="BJ1259" s="8">
        <v>10.6</v>
      </c>
      <c r="BK1259" s="8">
        <v>10.199999999999999</v>
      </c>
      <c r="BL1259" s="8">
        <v>7.5</v>
      </c>
      <c r="BM1259" s="8">
        <v>4.4000000000000004</v>
      </c>
      <c r="BN1259" s="8">
        <v>2.8</v>
      </c>
      <c r="BO1259" s="8">
        <v>2</v>
      </c>
      <c r="BP1259" s="7">
        <v>4.8</v>
      </c>
    </row>
    <row r="1260" spans="1:68" ht="14.25" customHeight="1">
      <c r="A1260" s="12">
        <v>603</v>
      </c>
      <c r="B1260" s="14">
        <v>578</v>
      </c>
      <c r="C1260" s="13" t="s">
        <v>135</v>
      </c>
      <c r="D1260" s="13" t="s">
        <v>227</v>
      </c>
      <c r="E1260" s="13" t="s">
        <v>225</v>
      </c>
      <c r="F1260" s="11">
        <v>-0.8</v>
      </c>
      <c r="G1260" s="11">
        <v>2</v>
      </c>
      <c r="H1260" s="11">
        <v>9.6999999999999993</v>
      </c>
      <c r="I1260" s="11">
        <v>16.100000000000001</v>
      </c>
      <c r="J1260" s="11">
        <v>21.9</v>
      </c>
      <c r="K1260" s="11">
        <v>26.8</v>
      </c>
      <c r="L1260" s="11">
        <v>28.6</v>
      </c>
      <c r="M1260" s="11">
        <v>26.6</v>
      </c>
      <c r="N1260" s="11">
        <v>21.1</v>
      </c>
      <c r="O1260" s="11">
        <v>13.5</v>
      </c>
      <c r="P1260" s="11">
        <v>6.8</v>
      </c>
      <c r="Q1260" s="11">
        <v>1.5</v>
      </c>
      <c r="R1260" s="10">
        <v>14.5</v>
      </c>
      <c r="S1260" s="15"/>
      <c r="T1260" s="8" t="s">
        <v>226</v>
      </c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7"/>
      <c r="AN1260" s="9"/>
      <c r="AO1260" s="8" t="s">
        <v>226</v>
      </c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7"/>
      <c r="BB1260" s="9"/>
      <c r="BC1260" s="8" t="s">
        <v>225</v>
      </c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7"/>
    </row>
    <row r="1261" spans="1:68" ht="14.25" customHeight="1">
      <c r="A1261" s="12">
        <v>604</v>
      </c>
      <c r="B1261" s="14">
        <v>495</v>
      </c>
      <c r="C1261" s="13" t="s">
        <v>224</v>
      </c>
      <c r="D1261" s="13" t="s">
        <v>224</v>
      </c>
      <c r="E1261" s="13" t="s">
        <v>223</v>
      </c>
      <c r="F1261" s="11">
        <v>1.1000000000000001</v>
      </c>
      <c r="G1261" s="11">
        <v>1.9</v>
      </c>
      <c r="H1261" s="11">
        <v>4.8</v>
      </c>
      <c r="I1261" s="11">
        <v>9.9</v>
      </c>
      <c r="J1261" s="11">
        <v>13.9</v>
      </c>
      <c r="K1261" s="11">
        <v>16.600000000000001</v>
      </c>
      <c r="L1261" s="11">
        <v>18.399999999999999</v>
      </c>
      <c r="M1261" s="11">
        <v>18.5</v>
      </c>
      <c r="N1261" s="11">
        <v>15.9</v>
      </c>
      <c r="O1261" s="11">
        <v>11.8</v>
      </c>
      <c r="P1261" s="11">
        <v>7.6</v>
      </c>
      <c r="Q1261" s="11">
        <v>3.1</v>
      </c>
      <c r="R1261" s="10">
        <v>10.3</v>
      </c>
      <c r="S1261" s="12">
        <v>495</v>
      </c>
      <c r="T1261" s="8" t="s">
        <v>221</v>
      </c>
      <c r="U1261" s="11">
        <v>-10</v>
      </c>
      <c r="V1261" s="11">
        <v>-7</v>
      </c>
      <c r="W1261" s="11">
        <v>-6</v>
      </c>
      <c r="X1261" s="11">
        <v>-3</v>
      </c>
      <c r="Y1261" s="11">
        <v>2</v>
      </c>
      <c r="Z1261" s="11">
        <v>-18</v>
      </c>
      <c r="AA1261" s="11">
        <v>6.4</v>
      </c>
      <c r="AB1261" s="11">
        <v>0</v>
      </c>
      <c r="AC1261" s="11" t="s">
        <v>50</v>
      </c>
      <c r="AD1261" s="11">
        <v>143</v>
      </c>
      <c r="AE1261" s="11">
        <v>3.2</v>
      </c>
      <c r="AF1261" s="11">
        <v>213</v>
      </c>
      <c r="AG1261" s="11">
        <v>4.3</v>
      </c>
      <c r="AH1261" s="11" t="s">
        <v>49</v>
      </c>
      <c r="AI1261" s="11">
        <v>65</v>
      </c>
      <c r="AJ1261" s="11">
        <v>718</v>
      </c>
      <c r="AK1261" s="11" t="s">
        <v>56</v>
      </c>
      <c r="AL1261" s="11" t="s">
        <v>44</v>
      </c>
      <c r="AM1261" s="10">
        <v>5</v>
      </c>
      <c r="AN1261" s="9">
        <v>495</v>
      </c>
      <c r="AO1261" s="8" t="s">
        <v>222</v>
      </c>
      <c r="AP1261" s="8" t="s">
        <v>64</v>
      </c>
      <c r="AQ1261" s="8">
        <v>28</v>
      </c>
      <c r="AR1261" s="8">
        <v>21</v>
      </c>
      <c r="AS1261" s="8">
        <v>24.9</v>
      </c>
      <c r="AT1261" s="8">
        <v>39</v>
      </c>
      <c r="AU1261" s="8">
        <v>10.6</v>
      </c>
      <c r="AV1261" s="8">
        <v>78</v>
      </c>
      <c r="AW1261" s="8">
        <v>62</v>
      </c>
      <c r="AX1261" s="8" t="s">
        <v>44</v>
      </c>
      <c r="AY1261" s="8">
        <v>133</v>
      </c>
      <c r="AZ1261" s="8" t="s">
        <v>151</v>
      </c>
      <c r="BA1261" s="7">
        <v>1</v>
      </c>
      <c r="BB1261" s="9"/>
      <c r="BC1261" s="8" t="s">
        <v>221</v>
      </c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7"/>
    </row>
    <row r="1262" spans="1:68" ht="14.25" customHeight="1">
      <c r="A1262" s="12">
        <v>605</v>
      </c>
      <c r="B1262" s="14">
        <v>489</v>
      </c>
      <c r="C1262" s="13" t="s">
        <v>105</v>
      </c>
      <c r="D1262" s="13" t="s">
        <v>105</v>
      </c>
      <c r="E1262" s="13" t="s">
        <v>220</v>
      </c>
      <c r="F1262" s="11">
        <v>-1</v>
      </c>
      <c r="G1262" s="11">
        <v>0.1</v>
      </c>
      <c r="H1262" s="11">
        <v>4</v>
      </c>
      <c r="I1262" s="11">
        <v>9</v>
      </c>
      <c r="J1262" s="11">
        <v>14.3</v>
      </c>
      <c r="K1262" s="11">
        <v>17.7</v>
      </c>
      <c r="L1262" s="11">
        <v>20.6</v>
      </c>
      <c r="M1262" s="11">
        <v>20.3</v>
      </c>
      <c r="N1262" s="11">
        <v>16.5</v>
      </c>
      <c r="O1262" s="11">
        <v>10.8</v>
      </c>
      <c r="P1262" s="11">
        <v>5.8</v>
      </c>
      <c r="Q1262" s="11">
        <v>1.3</v>
      </c>
      <c r="R1262" s="10">
        <v>10</v>
      </c>
      <c r="S1262" s="12">
        <v>489</v>
      </c>
      <c r="T1262" s="8" t="s">
        <v>218</v>
      </c>
      <c r="U1262" s="11">
        <v>-10</v>
      </c>
      <c r="V1262" s="11">
        <v>-9</v>
      </c>
      <c r="W1262" s="11">
        <v>-8</v>
      </c>
      <c r="X1262" s="11">
        <v>-4</v>
      </c>
      <c r="Y1262" s="11">
        <v>2</v>
      </c>
      <c r="Z1262" s="11">
        <v>-28</v>
      </c>
      <c r="AA1262" s="11">
        <v>7.6</v>
      </c>
      <c r="AB1262" s="11">
        <v>43</v>
      </c>
      <c r="AC1262" s="11">
        <v>-0.8</v>
      </c>
      <c r="AD1262" s="11">
        <v>154</v>
      </c>
      <c r="AE1262" s="11">
        <v>2.2000000000000002</v>
      </c>
      <c r="AF1262" s="11">
        <v>178</v>
      </c>
      <c r="AG1262" s="11">
        <v>3.1</v>
      </c>
      <c r="AH1262" s="11" t="s">
        <v>49</v>
      </c>
      <c r="AI1262" s="11">
        <v>67</v>
      </c>
      <c r="AJ1262" s="11">
        <v>247</v>
      </c>
      <c r="AK1262" s="11" t="s">
        <v>56</v>
      </c>
      <c r="AL1262" s="11" t="s">
        <v>44</v>
      </c>
      <c r="AM1262" s="10">
        <v>3.1</v>
      </c>
      <c r="AN1262" s="9">
        <v>489</v>
      </c>
      <c r="AO1262" s="8" t="s">
        <v>219</v>
      </c>
      <c r="AP1262" s="8" t="s">
        <v>64</v>
      </c>
      <c r="AQ1262" s="8">
        <v>23</v>
      </c>
      <c r="AR1262" s="8">
        <v>30</v>
      </c>
      <c r="AS1262" s="8">
        <v>27.5</v>
      </c>
      <c r="AT1262" s="8">
        <v>36</v>
      </c>
      <c r="AU1262" s="8">
        <v>11.6</v>
      </c>
      <c r="AV1262" s="8">
        <v>69</v>
      </c>
      <c r="AW1262" s="8">
        <v>53</v>
      </c>
      <c r="AX1262" s="8" t="s">
        <v>44</v>
      </c>
      <c r="AY1262" s="8">
        <v>89</v>
      </c>
      <c r="AZ1262" s="8" t="s">
        <v>25</v>
      </c>
      <c r="BA1262" s="7">
        <v>0.5</v>
      </c>
      <c r="BB1262" s="9"/>
      <c r="BC1262" s="8" t="s">
        <v>218</v>
      </c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7"/>
    </row>
    <row r="1263" spans="1:68" ht="14.25" customHeight="1">
      <c r="A1263" s="12">
        <v>606</v>
      </c>
      <c r="B1263" s="14">
        <v>560</v>
      </c>
      <c r="C1263" s="17" t="s">
        <v>208</v>
      </c>
      <c r="D1263" s="17" t="s">
        <v>217</v>
      </c>
      <c r="E1263" s="13" t="s">
        <v>215</v>
      </c>
      <c r="F1263" s="11"/>
      <c r="G1263" s="11"/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  <c r="R1263" s="10"/>
      <c r="S1263" s="16">
        <v>560</v>
      </c>
      <c r="T1263" s="8" t="s">
        <v>215</v>
      </c>
      <c r="U1263" s="11">
        <v>-25</v>
      </c>
      <c r="V1263" s="11">
        <v>-21</v>
      </c>
      <c r="W1263" s="11">
        <v>-20</v>
      </c>
      <c r="X1263" s="11">
        <v>-15</v>
      </c>
      <c r="Y1263" s="11">
        <v>-5</v>
      </c>
      <c r="Z1263" s="11">
        <v>-32</v>
      </c>
      <c r="AA1263" s="11">
        <v>9.3000000000000007</v>
      </c>
      <c r="AB1263" s="11">
        <v>62</v>
      </c>
      <c r="AC1263" s="11">
        <v>-0.4</v>
      </c>
      <c r="AD1263" s="11">
        <v>137</v>
      </c>
      <c r="AE1263" s="11">
        <v>1.4</v>
      </c>
      <c r="AF1263" s="11">
        <v>153</v>
      </c>
      <c r="AG1263" s="11">
        <v>2.2000000000000002</v>
      </c>
      <c r="AH1263" s="11" t="s">
        <v>49</v>
      </c>
      <c r="AI1263" s="11">
        <v>60</v>
      </c>
      <c r="AJ1263" s="11">
        <v>70</v>
      </c>
      <c r="AK1263" s="11" t="s">
        <v>66</v>
      </c>
      <c r="AL1263" s="11">
        <v>5.6</v>
      </c>
      <c r="AM1263" s="10" t="s">
        <v>44</v>
      </c>
      <c r="AN1263" s="9">
        <v>561</v>
      </c>
      <c r="AO1263" s="8" t="s">
        <v>216</v>
      </c>
      <c r="AP1263" s="8">
        <v>1005</v>
      </c>
      <c r="AQ1263" s="8">
        <v>40</v>
      </c>
      <c r="AR1263" s="8">
        <v>33</v>
      </c>
      <c r="AS1263" s="8">
        <v>38.200000000000003</v>
      </c>
      <c r="AT1263" s="8">
        <v>48</v>
      </c>
      <c r="AU1263" s="8">
        <v>15.1</v>
      </c>
      <c r="AV1263" s="8">
        <v>33</v>
      </c>
      <c r="AW1263" s="8">
        <v>23</v>
      </c>
      <c r="AX1263" s="8">
        <v>60</v>
      </c>
      <c r="AY1263" s="8">
        <v>38</v>
      </c>
      <c r="AZ1263" s="8" t="s">
        <v>63</v>
      </c>
      <c r="BA1263" s="7">
        <v>2.4</v>
      </c>
      <c r="BB1263" s="9"/>
      <c r="BC1263" s="8" t="s">
        <v>215</v>
      </c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7"/>
    </row>
    <row r="1264" spans="1:68" ht="14.25" customHeight="1">
      <c r="A1264" s="12">
        <v>607</v>
      </c>
      <c r="B1264" s="14">
        <v>389</v>
      </c>
      <c r="C1264" s="13" t="s">
        <v>30</v>
      </c>
      <c r="D1264" s="13" t="s">
        <v>162</v>
      </c>
      <c r="E1264" s="13" t="s">
        <v>212</v>
      </c>
      <c r="F1264" s="11">
        <v>-33.799999999999997</v>
      </c>
      <c r="G1264" s="11">
        <v>-29.7</v>
      </c>
      <c r="H1264" s="11">
        <v>-18.3</v>
      </c>
      <c r="I1264" s="11">
        <v>-4.9000000000000004</v>
      </c>
      <c r="J1264" s="11">
        <v>4.4000000000000004</v>
      </c>
      <c r="K1264" s="11">
        <v>12.7</v>
      </c>
      <c r="L1264" s="11">
        <v>16.2</v>
      </c>
      <c r="M1264" s="11">
        <v>13</v>
      </c>
      <c r="N1264" s="11">
        <v>5.2</v>
      </c>
      <c r="O1264" s="11">
        <v>-6.4</v>
      </c>
      <c r="P1264" s="11">
        <v>-22</v>
      </c>
      <c r="Q1264" s="11">
        <v>-31.9</v>
      </c>
      <c r="R1264" s="10">
        <v>-8</v>
      </c>
      <c r="S1264" s="12">
        <v>389</v>
      </c>
      <c r="T1264" s="8" t="s">
        <v>214</v>
      </c>
      <c r="U1264" s="11">
        <v>-50</v>
      </c>
      <c r="V1264" s="11">
        <v>-49</v>
      </c>
      <c r="W1264" s="11">
        <v>-48</v>
      </c>
      <c r="X1264" s="11">
        <v>-46</v>
      </c>
      <c r="Y1264" s="11">
        <v>-39</v>
      </c>
      <c r="Z1264" s="11">
        <v>-56</v>
      </c>
      <c r="AA1264" s="11">
        <v>13.4</v>
      </c>
      <c r="AB1264" s="11">
        <v>214</v>
      </c>
      <c r="AC1264" s="11">
        <v>-20.3</v>
      </c>
      <c r="AD1264" s="11">
        <v>267</v>
      </c>
      <c r="AE1264" s="11">
        <v>-15.5</v>
      </c>
      <c r="AF1264" s="11">
        <v>282</v>
      </c>
      <c r="AG1264" s="11">
        <v>-14.2</v>
      </c>
      <c r="AH1264" s="11">
        <v>79</v>
      </c>
      <c r="AI1264" s="11">
        <v>79</v>
      </c>
      <c r="AJ1264" s="11">
        <v>25</v>
      </c>
      <c r="AK1264" s="11" t="s">
        <v>199</v>
      </c>
      <c r="AL1264" s="11" t="s">
        <v>44</v>
      </c>
      <c r="AM1264" s="10">
        <v>1.2</v>
      </c>
      <c r="AN1264" s="9">
        <v>389</v>
      </c>
      <c r="AO1264" s="8" t="s">
        <v>213</v>
      </c>
      <c r="AP1264" s="8">
        <v>940</v>
      </c>
      <c r="AQ1264" s="8">
        <v>20.2</v>
      </c>
      <c r="AR1264" s="8">
        <v>25.1</v>
      </c>
      <c r="AS1264" s="8">
        <v>23.6</v>
      </c>
      <c r="AT1264" s="8">
        <v>35</v>
      </c>
      <c r="AU1264" s="8">
        <v>14.8</v>
      </c>
      <c r="AV1264" s="8">
        <v>72</v>
      </c>
      <c r="AW1264" s="8">
        <v>67</v>
      </c>
      <c r="AX1264" s="8">
        <v>325</v>
      </c>
      <c r="AY1264" s="8">
        <v>54</v>
      </c>
      <c r="AZ1264" s="8" t="s">
        <v>37</v>
      </c>
      <c r="BA1264" s="7" t="s">
        <v>46</v>
      </c>
      <c r="BB1264" s="9">
        <v>353</v>
      </c>
      <c r="BC1264" s="8" t="s">
        <v>212</v>
      </c>
      <c r="BD1264" s="8">
        <v>0.4</v>
      </c>
      <c r="BE1264" s="8">
        <v>0.5</v>
      </c>
      <c r="BF1264" s="8">
        <v>1.1000000000000001</v>
      </c>
      <c r="BG1264" s="8">
        <v>2.6</v>
      </c>
      <c r="BH1264" s="8">
        <v>4.7</v>
      </c>
      <c r="BI1264" s="8">
        <v>9.3000000000000007</v>
      </c>
      <c r="BJ1264" s="8">
        <v>12.9</v>
      </c>
      <c r="BK1264" s="8">
        <v>11.1</v>
      </c>
      <c r="BL1264" s="8">
        <v>6.5</v>
      </c>
      <c r="BM1264" s="8">
        <v>2.9</v>
      </c>
      <c r="BN1264" s="8">
        <v>1</v>
      </c>
      <c r="BO1264" s="8">
        <v>0.4</v>
      </c>
      <c r="BP1264" s="7">
        <v>4.5</v>
      </c>
    </row>
    <row r="1265" spans="1:68" ht="14.25" customHeight="1">
      <c r="A1265" s="12">
        <v>608</v>
      </c>
      <c r="B1265" s="14">
        <v>603</v>
      </c>
      <c r="C1265" s="13" t="s">
        <v>117</v>
      </c>
      <c r="D1265" s="13" t="s">
        <v>211</v>
      </c>
      <c r="E1265" s="13" t="s">
        <v>209</v>
      </c>
      <c r="F1265" s="11">
        <v>-1.6</v>
      </c>
      <c r="G1265" s="11">
        <v>0.1</v>
      </c>
      <c r="H1265" s="11">
        <v>5.2</v>
      </c>
      <c r="I1265" s="11">
        <v>12.5</v>
      </c>
      <c r="J1265" s="11">
        <v>17.100000000000001</v>
      </c>
      <c r="K1265" s="11">
        <v>21.7</v>
      </c>
      <c r="L1265" s="11">
        <v>24.8</v>
      </c>
      <c r="M1265" s="11">
        <v>23.6</v>
      </c>
      <c r="N1265" s="11">
        <v>18.5</v>
      </c>
      <c r="O1265" s="11">
        <v>12.1</v>
      </c>
      <c r="P1265" s="11">
        <v>5.7</v>
      </c>
      <c r="Q1265" s="11">
        <v>0.7</v>
      </c>
      <c r="R1265" s="10">
        <v>11.7</v>
      </c>
      <c r="S1265" s="12">
        <v>592</v>
      </c>
      <c r="T1265" s="8" t="s">
        <v>209</v>
      </c>
      <c r="U1265" s="11">
        <v>-18</v>
      </c>
      <c r="V1265" s="11">
        <v>-16</v>
      </c>
      <c r="W1265" s="11">
        <v>-15</v>
      </c>
      <c r="X1265" s="11" t="s">
        <v>64</v>
      </c>
      <c r="Y1265" s="11">
        <v>-5</v>
      </c>
      <c r="Z1265" s="11">
        <v>-24</v>
      </c>
      <c r="AA1265" s="11">
        <v>6.9</v>
      </c>
      <c r="AB1265" s="11">
        <v>56</v>
      </c>
      <c r="AC1265" s="11" t="s">
        <v>45</v>
      </c>
      <c r="AD1265" s="11">
        <v>144</v>
      </c>
      <c r="AE1265" s="11">
        <v>1.7</v>
      </c>
      <c r="AF1265" s="11" t="s">
        <v>114</v>
      </c>
      <c r="AG1265" s="11" t="s">
        <v>44</v>
      </c>
      <c r="AH1265" s="11" t="s">
        <v>49</v>
      </c>
      <c r="AI1265" s="11" t="s">
        <v>49</v>
      </c>
      <c r="AJ1265" s="11" t="s">
        <v>84</v>
      </c>
      <c r="AK1265" s="11" t="s">
        <v>44</v>
      </c>
      <c r="AL1265" s="11">
        <v>11.3</v>
      </c>
      <c r="AM1265" s="10" t="s">
        <v>44</v>
      </c>
      <c r="AN1265" s="9">
        <v>593</v>
      </c>
      <c r="AO1265" s="8" t="s">
        <v>210</v>
      </c>
      <c r="AP1265" s="8">
        <v>910</v>
      </c>
      <c r="AQ1265" s="8">
        <v>29.8</v>
      </c>
      <c r="AR1265" s="8">
        <v>34.299999999999997</v>
      </c>
      <c r="AS1265" s="8">
        <v>31.9</v>
      </c>
      <c r="AT1265" s="8">
        <v>42</v>
      </c>
      <c r="AU1265" s="8">
        <v>14.8</v>
      </c>
      <c r="AV1265" s="8" t="s">
        <v>45</v>
      </c>
      <c r="AW1265" s="8" t="s">
        <v>44</v>
      </c>
      <c r="AX1265" s="8" t="s">
        <v>44</v>
      </c>
      <c r="AY1265" s="8">
        <v>99</v>
      </c>
      <c r="AZ1265" s="8" t="s">
        <v>114</v>
      </c>
      <c r="BA1265" s="7">
        <v>0</v>
      </c>
      <c r="BB1265" s="9"/>
      <c r="BC1265" s="8" t="s">
        <v>209</v>
      </c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7"/>
    </row>
    <row r="1266" spans="1:68" ht="14.25" customHeight="1">
      <c r="A1266" s="12">
        <v>609</v>
      </c>
      <c r="B1266" s="14">
        <v>570</v>
      </c>
      <c r="C1266" s="17" t="s">
        <v>208</v>
      </c>
      <c r="D1266" s="17" t="s">
        <v>207</v>
      </c>
      <c r="E1266" s="13" t="s">
        <v>205</v>
      </c>
      <c r="F1266" s="11"/>
      <c r="G1266" s="11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0"/>
      <c r="S1266" s="16">
        <v>570</v>
      </c>
      <c r="T1266" s="8" t="s">
        <v>205</v>
      </c>
      <c r="U1266" s="11">
        <v>-19</v>
      </c>
      <c r="V1266" s="11">
        <v>-17</v>
      </c>
      <c r="W1266" s="11">
        <v>-15</v>
      </c>
      <c r="X1266" s="11">
        <v>-13</v>
      </c>
      <c r="Y1266" s="11">
        <v>-2</v>
      </c>
      <c r="Z1266" s="11">
        <v>-24</v>
      </c>
      <c r="AA1266" s="11">
        <v>9.6</v>
      </c>
      <c r="AB1266" s="11">
        <v>0</v>
      </c>
      <c r="AC1266" s="11" t="s">
        <v>50</v>
      </c>
      <c r="AD1266" s="11">
        <v>114</v>
      </c>
      <c r="AE1266" s="11">
        <v>3.3</v>
      </c>
      <c r="AF1266" s="11">
        <v>134</v>
      </c>
      <c r="AG1266" s="11">
        <v>4.0999999999999996</v>
      </c>
      <c r="AH1266" s="11" t="s">
        <v>49</v>
      </c>
      <c r="AI1266" s="11">
        <v>63</v>
      </c>
      <c r="AJ1266" s="11">
        <v>93</v>
      </c>
      <c r="AK1266" s="11" t="s">
        <v>56</v>
      </c>
      <c r="AL1266" s="11">
        <v>5</v>
      </c>
      <c r="AM1266" s="10" t="s">
        <v>44</v>
      </c>
      <c r="AN1266" s="9">
        <v>571</v>
      </c>
      <c r="AO1266" s="8" t="s">
        <v>206</v>
      </c>
      <c r="AP1266" s="8">
        <v>995</v>
      </c>
      <c r="AQ1266" s="8">
        <v>38</v>
      </c>
      <c r="AR1266" s="8">
        <v>33</v>
      </c>
      <c r="AS1266" s="8">
        <v>36.799999999999997</v>
      </c>
      <c r="AT1266" s="8">
        <v>45</v>
      </c>
      <c r="AU1266" s="8">
        <v>15.2</v>
      </c>
      <c r="AV1266" s="8">
        <v>36</v>
      </c>
      <c r="AW1266" s="8">
        <v>22</v>
      </c>
      <c r="AX1266" s="8">
        <v>39</v>
      </c>
      <c r="AY1266" s="8">
        <v>63</v>
      </c>
      <c r="AZ1266" s="8" t="s">
        <v>32</v>
      </c>
      <c r="BA1266" s="7">
        <v>3.1</v>
      </c>
      <c r="BB1266" s="9"/>
      <c r="BC1266" s="8" t="s">
        <v>205</v>
      </c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7"/>
    </row>
    <row r="1267" spans="1:68" ht="14.25" customHeight="1">
      <c r="A1267" s="12">
        <v>610</v>
      </c>
      <c r="B1267" s="14">
        <v>392</v>
      </c>
      <c r="C1267" s="13" t="s">
        <v>30</v>
      </c>
      <c r="D1267" s="13" t="s">
        <v>204</v>
      </c>
      <c r="E1267" s="13" t="s">
        <v>201</v>
      </c>
      <c r="F1267" s="11">
        <v>-13</v>
      </c>
      <c r="G1267" s="11">
        <v>-12.4</v>
      </c>
      <c r="H1267" s="11">
        <v>-6</v>
      </c>
      <c r="I1267" s="11">
        <v>3.6</v>
      </c>
      <c r="J1267" s="11">
        <v>12</v>
      </c>
      <c r="K1267" s="11">
        <v>16.5</v>
      </c>
      <c r="L1267" s="11">
        <v>18.600000000000001</v>
      </c>
      <c r="M1267" s="11">
        <v>16.899999999999999</v>
      </c>
      <c r="N1267" s="11">
        <v>10.8</v>
      </c>
      <c r="O1267" s="11">
        <v>3.3</v>
      </c>
      <c r="P1267" s="11">
        <v>-3.7</v>
      </c>
      <c r="Q1267" s="11">
        <v>-10</v>
      </c>
      <c r="R1267" s="10">
        <v>3</v>
      </c>
      <c r="S1267" s="12">
        <v>392</v>
      </c>
      <c r="T1267" s="8" t="s">
        <v>203</v>
      </c>
      <c r="U1267" s="11">
        <v>-40</v>
      </c>
      <c r="V1267" s="11">
        <v>-36</v>
      </c>
      <c r="W1267" s="11">
        <v>-35</v>
      </c>
      <c r="X1267" s="11">
        <v>-32</v>
      </c>
      <c r="Y1267" s="11">
        <v>-18</v>
      </c>
      <c r="Z1267" s="11">
        <v>-44</v>
      </c>
      <c r="AA1267" s="11">
        <v>6.8</v>
      </c>
      <c r="AB1267" s="11">
        <v>156</v>
      </c>
      <c r="AC1267" s="11">
        <v>-8.3000000000000007</v>
      </c>
      <c r="AD1267" s="11">
        <v>217</v>
      </c>
      <c r="AE1267" s="11">
        <v>-4.9000000000000004</v>
      </c>
      <c r="AF1267" s="11">
        <v>232</v>
      </c>
      <c r="AG1267" s="11">
        <v>-3.9</v>
      </c>
      <c r="AH1267" s="11">
        <v>84</v>
      </c>
      <c r="AI1267" s="11">
        <v>84</v>
      </c>
      <c r="AJ1267" s="11">
        <v>160</v>
      </c>
      <c r="AK1267" s="11" t="s">
        <v>34</v>
      </c>
      <c r="AL1267" s="11" t="s">
        <v>44</v>
      </c>
      <c r="AM1267" s="10">
        <v>5</v>
      </c>
      <c r="AN1267" s="9">
        <v>392</v>
      </c>
      <c r="AO1267" s="8" t="s">
        <v>202</v>
      </c>
      <c r="AP1267" s="8">
        <v>1000</v>
      </c>
      <c r="AQ1267" s="8">
        <v>21.7</v>
      </c>
      <c r="AR1267" s="8">
        <v>25.9</v>
      </c>
      <c r="AS1267" s="8">
        <v>24.1</v>
      </c>
      <c r="AT1267" s="8">
        <v>39</v>
      </c>
      <c r="AU1267" s="8">
        <v>10.1</v>
      </c>
      <c r="AV1267" s="8">
        <v>70</v>
      </c>
      <c r="AW1267" s="8">
        <v>57</v>
      </c>
      <c r="AX1267" s="8">
        <v>371</v>
      </c>
      <c r="AY1267" s="8">
        <v>93</v>
      </c>
      <c r="AZ1267" s="8" t="s">
        <v>43</v>
      </c>
      <c r="BA1267" s="7" t="s">
        <v>46</v>
      </c>
      <c r="BB1267" s="9">
        <v>356</v>
      </c>
      <c r="BC1267" s="8" t="s">
        <v>201</v>
      </c>
      <c r="BD1267" s="8">
        <v>2.2999999999999998</v>
      </c>
      <c r="BE1267" s="8">
        <v>2.2999999999999998</v>
      </c>
      <c r="BF1267" s="8">
        <v>3.4</v>
      </c>
      <c r="BG1267" s="8">
        <v>6</v>
      </c>
      <c r="BH1267" s="8">
        <v>8.8000000000000007</v>
      </c>
      <c r="BI1267" s="8">
        <v>12.1</v>
      </c>
      <c r="BJ1267" s="8">
        <v>14.8</v>
      </c>
      <c r="BK1267" s="8">
        <v>13.6</v>
      </c>
      <c r="BL1267" s="8">
        <v>10</v>
      </c>
      <c r="BM1267" s="8">
        <v>6.5</v>
      </c>
      <c r="BN1267" s="8">
        <v>4.4000000000000004</v>
      </c>
      <c r="BO1267" s="8">
        <v>3</v>
      </c>
      <c r="BP1267" s="7">
        <v>7.2</v>
      </c>
    </row>
    <row r="1268" spans="1:68" ht="14.25" customHeight="1">
      <c r="A1268" s="12">
        <v>611</v>
      </c>
      <c r="B1268" s="14">
        <v>501</v>
      </c>
      <c r="C1268" s="13" t="s">
        <v>121</v>
      </c>
      <c r="D1268" s="13" t="s">
        <v>200</v>
      </c>
      <c r="E1268" s="13" t="s">
        <v>197</v>
      </c>
      <c r="F1268" s="11">
        <v>-14.6</v>
      </c>
      <c r="G1268" s="11">
        <v>-14</v>
      </c>
      <c r="H1268" s="11">
        <v>-6</v>
      </c>
      <c r="I1268" s="11">
        <v>8.1999999999999993</v>
      </c>
      <c r="J1268" s="11">
        <v>17</v>
      </c>
      <c r="K1268" s="11">
        <v>22.7</v>
      </c>
      <c r="L1268" s="11">
        <v>25.1</v>
      </c>
      <c r="M1268" s="11">
        <v>22.9</v>
      </c>
      <c r="N1268" s="11">
        <v>15.8</v>
      </c>
      <c r="O1268" s="11">
        <v>6.2</v>
      </c>
      <c r="P1268" s="11">
        <v>-2.6</v>
      </c>
      <c r="Q1268" s="11">
        <v>-10.3</v>
      </c>
      <c r="R1268" s="10">
        <v>5.9</v>
      </c>
      <c r="S1268" s="12">
        <v>501</v>
      </c>
      <c r="T1268" s="8" t="s">
        <v>197</v>
      </c>
      <c r="U1268" s="11">
        <v>-39</v>
      </c>
      <c r="V1268" s="11">
        <v>-37</v>
      </c>
      <c r="W1268" s="11">
        <v>-35</v>
      </c>
      <c r="X1268" s="11">
        <v>-33</v>
      </c>
      <c r="Y1268" s="11" t="s">
        <v>49</v>
      </c>
      <c r="Z1268" s="11">
        <v>-45</v>
      </c>
      <c r="AA1268" s="11">
        <v>9.5</v>
      </c>
      <c r="AB1268" s="11">
        <v>146</v>
      </c>
      <c r="AC1268" s="11">
        <v>-9.8000000000000007</v>
      </c>
      <c r="AD1268" s="11">
        <v>190</v>
      </c>
      <c r="AE1268" s="11">
        <v>-6.4</v>
      </c>
      <c r="AF1268" s="11">
        <v>201</v>
      </c>
      <c r="AG1268" s="11">
        <v>-4.5999999999999996</v>
      </c>
      <c r="AH1268" s="11">
        <v>81</v>
      </c>
      <c r="AI1268" s="11" t="s">
        <v>49</v>
      </c>
      <c r="AJ1268" s="11">
        <v>75</v>
      </c>
      <c r="AK1268" s="11" t="s">
        <v>199</v>
      </c>
      <c r="AL1268" s="11">
        <v>6.2</v>
      </c>
      <c r="AM1268" s="10">
        <v>4.9000000000000004</v>
      </c>
      <c r="AN1268" s="9">
        <v>501</v>
      </c>
      <c r="AO1268" s="8" t="s">
        <v>198</v>
      </c>
      <c r="AP1268" s="8" t="s">
        <v>64</v>
      </c>
      <c r="AQ1268" s="8" t="s">
        <v>45</v>
      </c>
      <c r="AR1268" s="8" t="s">
        <v>44</v>
      </c>
      <c r="AS1268" s="8">
        <v>32.1</v>
      </c>
      <c r="AT1268" s="8">
        <v>43</v>
      </c>
      <c r="AU1268" s="8">
        <v>14.6</v>
      </c>
      <c r="AV1268" s="8">
        <v>41</v>
      </c>
      <c r="AW1268" s="8" t="s">
        <v>44</v>
      </c>
      <c r="AX1268" s="8">
        <v>113</v>
      </c>
      <c r="AY1268" s="8" t="s">
        <v>64</v>
      </c>
      <c r="AZ1268" s="8" t="s">
        <v>32</v>
      </c>
      <c r="BA1268" s="7">
        <v>4.3</v>
      </c>
      <c r="BB1268" s="9"/>
      <c r="BC1268" s="8" t="s">
        <v>197</v>
      </c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7"/>
    </row>
    <row r="1269" spans="1:68" ht="14.25" customHeight="1">
      <c r="A1269" s="12">
        <v>612</v>
      </c>
      <c r="B1269" s="14">
        <v>193</v>
      </c>
      <c r="C1269" s="13" t="s">
        <v>30</v>
      </c>
      <c r="D1269" s="13" t="s">
        <v>29</v>
      </c>
      <c r="E1269" s="13" t="s">
        <v>194</v>
      </c>
      <c r="F1269" s="11">
        <v>-28.5</v>
      </c>
      <c r="G1269" s="11">
        <v>-28.6</v>
      </c>
      <c r="H1269" s="11">
        <v>-28.2</v>
      </c>
      <c r="I1269" s="11">
        <v>-21</v>
      </c>
      <c r="J1269" s="11">
        <v>-10.5</v>
      </c>
      <c r="K1269" s="11">
        <v>-1.4</v>
      </c>
      <c r="L1269" s="11">
        <v>1.5</v>
      </c>
      <c r="M1269" s="11">
        <v>0.7</v>
      </c>
      <c r="N1269" s="11">
        <v>-2.4</v>
      </c>
      <c r="O1269" s="11">
        <v>-11.5</v>
      </c>
      <c r="P1269" s="11">
        <v>-21.4</v>
      </c>
      <c r="Q1269" s="11">
        <v>-25.3</v>
      </c>
      <c r="R1269" s="10">
        <v>-14.7</v>
      </c>
      <c r="S1269" s="12">
        <v>193</v>
      </c>
      <c r="T1269" s="8" t="s">
        <v>196</v>
      </c>
      <c r="U1269" s="11">
        <v>-46</v>
      </c>
      <c r="V1269" s="11">
        <v>-44</v>
      </c>
      <c r="W1269" s="11">
        <v>-44</v>
      </c>
      <c r="X1269" s="11">
        <v>-41</v>
      </c>
      <c r="Y1269" s="11">
        <v>-33</v>
      </c>
      <c r="Z1269" s="11">
        <v>-49</v>
      </c>
      <c r="AA1269" s="11">
        <v>7</v>
      </c>
      <c r="AB1269" s="11">
        <v>311</v>
      </c>
      <c r="AC1269" s="11">
        <v>-17.3</v>
      </c>
      <c r="AD1269" s="11">
        <v>365</v>
      </c>
      <c r="AE1269" s="11">
        <v>-14.7</v>
      </c>
      <c r="AF1269" s="11">
        <v>365</v>
      </c>
      <c r="AG1269" s="11">
        <v>-14.7</v>
      </c>
      <c r="AH1269" s="11">
        <v>84</v>
      </c>
      <c r="AI1269" s="11">
        <v>84</v>
      </c>
      <c r="AJ1269" s="11" t="s">
        <v>84</v>
      </c>
      <c r="AK1269" s="11" t="s">
        <v>39</v>
      </c>
      <c r="AL1269" s="11">
        <v>9.3000000000000007</v>
      </c>
      <c r="AM1269" s="10">
        <v>6.7</v>
      </c>
      <c r="AN1269" s="9">
        <v>193</v>
      </c>
      <c r="AO1269" s="8" t="s">
        <v>195</v>
      </c>
      <c r="AP1269" s="8">
        <v>1010</v>
      </c>
      <c r="AQ1269" s="8">
        <v>1.5</v>
      </c>
      <c r="AR1269" s="8">
        <v>6.7</v>
      </c>
      <c r="AS1269" s="8">
        <v>3.9</v>
      </c>
      <c r="AT1269" s="8">
        <v>24</v>
      </c>
      <c r="AU1269" s="8">
        <v>4.0999999999999996</v>
      </c>
      <c r="AV1269" s="8">
        <v>93</v>
      </c>
      <c r="AW1269" s="8">
        <v>91</v>
      </c>
      <c r="AX1269" s="8" t="s">
        <v>44</v>
      </c>
      <c r="AY1269" s="8" t="s">
        <v>64</v>
      </c>
      <c r="AZ1269" s="8" t="s">
        <v>63</v>
      </c>
      <c r="BA1269" s="7">
        <v>5.8</v>
      </c>
      <c r="BB1269" s="9"/>
      <c r="BC1269" s="8" t="s">
        <v>194</v>
      </c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7"/>
    </row>
    <row r="1270" spans="1:68" ht="14.25" customHeight="1">
      <c r="A1270" s="12">
        <v>613</v>
      </c>
      <c r="B1270" s="14">
        <v>374</v>
      </c>
      <c r="C1270" s="13" t="s">
        <v>30</v>
      </c>
      <c r="D1270" s="13" t="s">
        <v>193</v>
      </c>
      <c r="E1270" s="13" t="s">
        <v>190</v>
      </c>
      <c r="F1270" s="11">
        <v>-15.8</v>
      </c>
      <c r="G1270" s="11">
        <v>-14.3</v>
      </c>
      <c r="H1270" s="11">
        <v>-7.4</v>
      </c>
      <c r="I1270" s="11">
        <v>3.9</v>
      </c>
      <c r="J1270" s="11">
        <v>11.9</v>
      </c>
      <c r="K1270" s="11">
        <v>16.8</v>
      </c>
      <c r="L1270" s="11">
        <v>18.399999999999999</v>
      </c>
      <c r="M1270" s="11">
        <v>16.2</v>
      </c>
      <c r="N1270" s="11">
        <v>10.7</v>
      </c>
      <c r="O1270" s="11">
        <v>2.4</v>
      </c>
      <c r="P1270" s="11">
        <v>-6.2</v>
      </c>
      <c r="Q1270" s="11">
        <v>-12.9</v>
      </c>
      <c r="R1270" s="10">
        <v>2</v>
      </c>
      <c r="S1270" s="12">
        <v>374</v>
      </c>
      <c r="T1270" s="8" t="s">
        <v>192</v>
      </c>
      <c r="U1270" s="11">
        <v>-39</v>
      </c>
      <c r="V1270" s="11">
        <v>-38</v>
      </c>
      <c r="W1270" s="11">
        <v>-35</v>
      </c>
      <c r="X1270" s="11">
        <v>-34</v>
      </c>
      <c r="Y1270" s="11">
        <v>-21</v>
      </c>
      <c r="Z1270" s="11">
        <v>-48</v>
      </c>
      <c r="AA1270" s="11">
        <v>9.4</v>
      </c>
      <c r="AB1270" s="11">
        <v>162</v>
      </c>
      <c r="AC1270" s="11">
        <v>-10.1</v>
      </c>
      <c r="AD1270" s="11">
        <v>218</v>
      </c>
      <c r="AE1270" s="11">
        <v>-6.5</v>
      </c>
      <c r="AF1270" s="11">
        <v>233</v>
      </c>
      <c r="AG1270" s="11">
        <v>-5.5</v>
      </c>
      <c r="AH1270" s="11">
        <v>78</v>
      </c>
      <c r="AI1270" s="11">
        <v>78</v>
      </c>
      <c r="AJ1270" s="11">
        <v>104</v>
      </c>
      <c r="AK1270" s="11" t="s">
        <v>39</v>
      </c>
      <c r="AL1270" s="11">
        <v>4.5</v>
      </c>
      <c r="AM1270" s="10">
        <v>3</v>
      </c>
      <c r="AN1270" s="9">
        <v>374</v>
      </c>
      <c r="AO1270" s="8" t="s">
        <v>191</v>
      </c>
      <c r="AP1270" s="8">
        <v>985</v>
      </c>
      <c r="AQ1270" s="8">
        <v>21.7</v>
      </c>
      <c r="AR1270" s="8">
        <v>25.9</v>
      </c>
      <c r="AS1270" s="8">
        <v>24.1</v>
      </c>
      <c r="AT1270" s="8">
        <v>40</v>
      </c>
      <c r="AU1270" s="8">
        <v>10.7</v>
      </c>
      <c r="AV1270" s="8">
        <v>69</v>
      </c>
      <c r="AW1270" s="8">
        <v>54</v>
      </c>
      <c r="AX1270" s="8">
        <v>435</v>
      </c>
      <c r="AY1270" s="8">
        <v>88</v>
      </c>
      <c r="AZ1270" s="8" t="s">
        <v>54</v>
      </c>
      <c r="BA1270" s="7">
        <v>3.2</v>
      </c>
      <c r="BB1270" s="9">
        <v>339</v>
      </c>
      <c r="BC1270" s="8" t="s">
        <v>190</v>
      </c>
      <c r="BD1270" s="8">
        <v>1.6</v>
      </c>
      <c r="BE1270" s="8">
        <v>1.7</v>
      </c>
      <c r="BF1270" s="8">
        <v>2.9</v>
      </c>
      <c r="BG1270" s="8">
        <v>5.3</v>
      </c>
      <c r="BH1270" s="8">
        <v>7.8</v>
      </c>
      <c r="BI1270" s="8">
        <v>11.6</v>
      </c>
      <c r="BJ1270" s="8">
        <v>14.7</v>
      </c>
      <c r="BK1270" s="8">
        <v>12.6</v>
      </c>
      <c r="BL1270" s="8">
        <v>9</v>
      </c>
      <c r="BM1270" s="8">
        <v>5.3</v>
      </c>
      <c r="BN1270" s="8">
        <v>3.3</v>
      </c>
      <c r="BO1270" s="8">
        <v>2.2000000000000002</v>
      </c>
      <c r="BP1270" s="7">
        <v>6.5</v>
      </c>
    </row>
    <row r="1271" spans="1:68" ht="14.25" customHeight="1">
      <c r="A1271" s="12">
        <v>614</v>
      </c>
      <c r="B1271" s="14">
        <v>254</v>
      </c>
      <c r="C1271" s="13" t="s">
        <v>30</v>
      </c>
      <c r="D1271" s="13" t="s">
        <v>189</v>
      </c>
      <c r="E1271" s="13" t="s">
        <v>186</v>
      </c>
      <c r="F1271" s="11">
        <v>-15.3</v>
      </c>
      <c r="G1271" s="11">
        <v>-13.4</v>
      </c>
      <c r="H1271" s="11">
        <v>-6.9</v>
      </c>
      <c r="I1271" s="11">
        <v>2.6</v>
      </c>
      <c r="J1271" s="11">
        <v>10.199999999999999</v>
      </c>
      <c r="K1271" s="11">
        <v>15.7</v>
      </c>
      <c r="L1271" s="11">
        <v>18</v>
      </c>
      <c r="M1271" s="11">
        <v>15.4</v>
      </c>
      <c r="N1271" s="11">
        <v>9.3000000000000007</v>
      </c>
      <c r="O1271" s="11">
        <v>1.4</v>
      </c>
      <c r="P1271" s="11">
        <v>-6.3</v>
      </c>
      <c r="Q1271" s="11">
        <v>-12.7</v>
      </c>
      <c r="R1271" s="10">
        <v>1.5</v>
      </c>
      <c r="S1271" s="12">
        <v>254</v>
      </c>
      <c r="T1271" s="8" t="s">
        <v>188</v>
      </c>
      <c r="U1271" s="11">
        <v>-45</v>
      </c>
      <c r="V1271" s="11">
        <v>-42</v>
      </c>
      <c r="W1271" s="11">
        <v>-40</v>
      </c>
      <c r="X1271" s="11">
        <v>-37</v>
      </c>
      <c r="Y1271" s="11">
        <v>-22</v>
      </c>
      <c r="Z1271" s="11">
        <v>-52</v>
      </c>
      <c r="AA1271" s="11">
        <v>6.9</v>
      </c>
      <c r="AB1271" s="11">
        <v>176</v>
      </c>
      <c r="AC1271" s="11">
        <v>-10.9</v>
      </c>
      <c r="AD1271" s="11">
        <v>245</v>
      </c>
      <c r="AE1271" s="11">
        <v>-6.7</v>
      </c>
      <c r="AF1271" s="11">
        <v>261</v>
      </c>
      <c r="AG1271" s="11">
        <v>-5.7</v>
      </c>
      <c r="AH1271" s="11">
        <v>86</v>
      </c>
      <c r="AI1271" s="11">
        <v>83</v>
      </c>
      <c r="AJ1271" s="11">
        <v>229</v>
      </c>
      <c r="AK1271" s="11" t="s">
        <v>34</v>
      </c>
      <c r="AL1271" s="11" t="s">
        <v>44</v>
      </c>
      <c r="AM1271" s="10">
        <v>4.3</v>
      </c>
      <c r="AN1271" s="9">
        <v>254</v>
      </c>
      <c r="AO1271" s="8" t="s">
        <v>187</v>
      </c>
      <c r="AP1271" s="8">
        <v>990</v>
      </c>
      <c r="AQ1271" s="8">
        <v>21</v>
      </c>
      <c r="AR1271" s="8">
        <v>26</v>
      </c>
      <c r="AS1271" s="8">
        <v>22</v>
      </c>
      <c r="AT1271" s="8">
        <v>36</v>
      </c>
      <c r="AU1271" s="8">
        <v>10</v>
      </c>
      <c r="AV1271" s="8">
        <v>70</v>
      </c>
      <c r="AW1271" s="8">
        <v>57</v>
      </c>
      <c r="AX1271" s="8">
        <v>439</v>
      </c>
      <c r="AY1271" s="8">
        <v>75</v>
      </c>
      <c r="AZ1271" s="8" t="s">
        <v>43</v>
      </c>
      <c r="BA1271" s="7" t="s">
        <v>46</v>
      </c>
      <c r="BB1271" s="9">
        <v>225</v>
      </c>
      <c r="BC1271" s="8" t="s">
        <v>186</v>
      </c>
      <c r="BD1271" s="8">
        <v>1.9</v>
      </c>
      <c r="BE1271" s="8">
        <v>1.9</v>
      </c>
      <c r="BF1271" s="8">
        <v>2.9</v>
      </c>
      <c r="BG1271" s="8">
        <v>4.7</v>
      </c>
      <c r="BH1271" s="8">
        <v>6.6</v>
      </c>
      <c r="BI1271" s="8">
        <v>10.1</v>
      </c>
      <c r="BJ1271" s="8">
        <v>13.1</v>
      </c>
      <c r="BK1271" s="8">
        <v>12</v>
      </c>
      <c r="BL1271" s="8">
        <v>8.9</v>
      </c>
      <c r="BM1271" s="8">
        <v>5.5</v>
      </c>
      <c r="BN1271" s="8">
        <v>3.5</v>
      </c>
      <c r="BO1271" s="8">
        <v>2.2999999999999998</v>
      </c>
      <c r="BP1271" s="7">
        <v>6.1</v>
      </c>
    </row>
    <row r="1272" spans="1:68" ht="14.25" customHeight="1">
      <c r="A1272" s="12">
        <v>615</v>
      </c>
      <c r="B1272" s="14">
        <v>131</v>
      </c>
      <c r="C1272" s="13" t="s">
        <v>30</v>
      </c>
      <c r="D1272" s="13" t="s">
        <v>185</v>
      </c>
      <c r="E1272" s="13" t="s">
        <v>182</v>
      </c>
      <c r="F1272" s="11">
        <v>-4.4000000000000004</v>
      </c>
      <c r="G1272" s="11">
        <v>-2.2999999999999998</v>
      </c>
      <c r="H1272" s="11">
        <v>1.5</v>
      </c>
      <c r="I1272" s="11">
        <v>9</v>
      </c>
      <c r="J1272" s="11">
        <v>14.8</v>
      </c>
      <c r="K1272" s="11">
        <v>18.3</v>
      </c>
      <c r="L1272" s="11">
        <v>21.1</v>
      </c>
      <c r="M1272" s="11">
        <v>20.6</v>
      </c>
      <c r="N1272" s="11">
        <v>15.7</v>
      </c>
      <c r="O1272" s="11">
        <v>9.6</v>
      </c>
      <c r="P1272" s="11">
        <v>3.7</v>
      </c>
      <c r="Q1272" s="11">
        <v>-1.1000000000000001</v>
      </c>
      <c r="R1272" s="10">
        <v>8.8000000000000007</v>
      </c>
      <c r="S1272" s="12">
        <v>131</v>
      </c>
      <c r="T1272" s="8" t="s">
        <v>184</v>
      </c>
      <c r="U1272" s="11">
        <v>-23</v>
      </c>
      <c r="V1272" s="11">
        <v>-21</v>
      </c>
      <c r="W1272" s="11">
        <v>-20</v>
      </c>
      <c r="X1272" s="11">
        <v>-18</v>
      </c>
      <c r="Y1272" s="11">
        <v>-9</v>
      </c>
      <c r="Z1272" s="11">
        <v>-29</v>
      </c>
      <c r="AA1272" s="11">
        <v>8.3000000000000007</v>
      </c>
      <c r="AB1272" s="11">
        <v>85</v>
      </c>
      <c r="AC1272" s="11">
        <v>-2.5</v>
      </c>
      <c r="AD1272" s="11">
        <v>169</v>
      </c>
      <c r="AE1272" s="11">
        <v>0.6</v>
      </c>
      <c r="AF1272" s="11">
        <v>189</v>
      </c>
      <c r="AG1272" s="11">
        <v>1.5</v>
      </c>
      <c r="AH1272" s="11">
        <v>81</v>
      </c>
      <c r="AI1272" s="11">
        <v>73</v>
      </c>
      <c r="AJ1272" s="11">
        <v>119</v>
      </c>
      <c r="AK1272" s="11" t="s">
        <v>66</v>
      </c>
      <c r="AL1272" s="11" t="s">
        <v>44</v>
      </c>
      <c r="AM1272" s="10">
        <v>3.2</v>
      </c>
      <c r="AN1272" s="9">
        <v>131</v>
      </c>
      <c r="AO1272" s="8" t="s">
        <v>183</v>
      </c>
      <c r="AP1272" s="8">
        <v>955</v>
      </c>
      <c r="AQ1272" s="8">
        <v>24.8</v>
      </c>
      <c r="AR1272" s="8">
        <v>28.8</v>
      </c>
      <c r="AS1272" s="8">
        <v>27.2</v>
      </c>
      <c r="AT1272" s="8">
        <v>39</v>
      </c>
      <c r="AU1272" s="8">
        <v>11.5</v>
      </c>
      <c r="AV1272" s="8">
        <v>67</v>
      </c>
      <c r="AW1272" s="8">
        <v>48</v>
      </c>
      <c r="AX1272" s="8">
        <v>453</v>
      </c>
      <c r="AY1272" s="8">
        <v>92</v>
      </c>
      <c r="AZ1272" s="8" t="s">
        <v>151</v>
      </c>
      <c r="BA1272" s="7" t="s">
        <v>46</v>
      </c>
      <c r="BB1272" s="9">
        <v>114</v>
      </c>
      <c r="BC1272" s="8" t="s">
        <v>182</v>
      </c>
      <c r="BD1272" s="8">
        <v>4.2</v>
      </c>
      <c r="BE1272" s="8">
        <v>44</v>
      </c>
      <c r="BF1272" s="8">
        <v>5.4</v>
      </c>
      <c r="BG1272" s="8">
        <v>7.7</v>
      </c>
      <c r="BH1272" s="8">
        <v>11.3</v>
      </c>
      <c r="BI1272" s="8">
        <v>14.2</v>
      </c>
      <c r="BJ1272" s="8">
        <v>16.2</v>
      </c>
      <c r="BK1272" s="8">
        <v>15.5</v>
      </c>
      <c r="BL1272" s="8">
        <v>12.3</v>
      </c>
      <c r="BM1272" s="8">
        <v>8.9</v>
      </c>
      <c r="BN1272" s="8">
        <v>6.6</v>
      </c>
      <c r="BO1272" s="8">
        <v>4.9000000000000004</v>
      </c>
      <c r="BP1272" s="7">
        <v>9.3000000000000007</v>
      </c>
    </row>
    <row r="1273" spans="1:68" ht="14.25" customHeight="1">
      <c r="A1273" s="12">
        <v>616</v>
      </c>
      <c r="B1273" s="14">
        <v>244</v>
      </c>
      <c r="C1273" s="13" t="s">
        <v>30</v>
      </c>
      <c r="D1273" s="13" t="s">
        <v>181</v>
      </c>
      <c r="E1273" s="13" t="s">
        <v>178</v>
      </c>
      <c r="F1273" s="11">
        <v>-19.2</v>
      </c>
      <c r="G1273" s="11">
        <v>-17.899999999999999</v>
      </c>
      <c r="H1273" s="11">
        <v>-10.3</v>
      </c>
      <c r="I1273" s="11">
        <v>3.2</v>
      </c>
      <c r="J1273" s="11">
        <v>12.1</v>
      </c>
      <c r="K1273" s="11">
        <v>18</v>
      </c>
      <c r="L1273" s="11">
        <v>19.8</v>
      </c>
      <c r="M1273" s="11">
        <v>16.5</v>
      </c>
      <c r="N1273" s="11">
        <v>11.3</v>
      </c>
      <c r="O1273" s="11">
        <v>2.2000000000000002</v>
      </c>
      <c r="P1273" s="11">
        <v>-8.4</v>
      </c>
      <c r="Q1273" s="11">
        <v>-15.8</v>
      </c>
      <c r="R1273" s="10">
        <v>1</v>
      </c>
      <c r="S1273" s="12">
        <v>244</v>
      </c>
      <c r="T1273" s="8" t="s">
        <v>180</v>
      </c>
      <c r="U1273" s="11">
        <v>-41</v>
      </c>
      <c r="V1273" s="11">
        <v>-40</v>
      </c>
      <c r="W1273" s="11">
        <v>-39</v>
      </c>
      <c r="X1273" s="11">
        <v>-37</v>
      </c>
      <c r="Y1273" s="11">
        <v>-24</v>
      </c>
      <c r="Z1273" s="11">
        <v>-44</v>
      </c>
      <c r="AA1273" s="11">
        <v>8.8000000000000007</v>
      </c>
      <c r="AB1273" s="11">
        <v>168</v>
      </c>
      <c r="AC1273" s="11">
        <v>-12.5</v>
      </c>
      <c r="AD1273" s="11">
        <v>217</v>
      </c>
      <c r="AE1273" s="11">
        <v>-8.6999999999999993</v>
      </c>
      <c r="AF1273" s="11">
        <v>231</v>
      </c>
      <c r="AG1273" s="11">
        <v>-7.6</v>
      </c>
      <c r="AH1273" s="11">
        <v>82</v>
      </c>
      <c r="AI1273" s="11">
        <v>81</v>
      </c>
      <c r="AJ1273" s="11">
        <v>82</v>
      </c>
      <c r="AK1273" s="11" t="s">
        <v>39</v>
      </c>
      <c r="AL1273" s="11">
        <v>5.4</v>
      </c>
      <c r="AM1273" s="10" t="s">
        <v>44</v>
      </c>
      <c r="AN1273" s="9">
        <v>244</v>
      </c>
      <c r="AO1273" s="8" t="s">
        <v>179</v>
      </c>
      <c r="AP1273" s="8">
        <v>995</v>
      </c>
      <c r="AQ1273" s="8">
        <v>23.7</v>
      </c>
      <c r="AR1273" s="8">
        <v>27.7</v>
      </c>
      <c r="AS1273" s="8">
        <v>26.1</v>
      </c>
      <c r="AT1273" s="8">
        <v>41</v>
      </c>
      <c r="AU1273" s="8">
        <v>11.9</v>
      </c>
      <c r="AV1273" s="8">
        <v>66</v>
      </c>
      <c r="AW1273" s="8">
        <v>49</v>
      </c>
      <c r="AX1273" s="8">
        <v>279</v>
      </c>
      <c r="AY1273" s="8" t="s">
        <v>64</v>
      </c>
      <c r="AZ1273" s="8" t="s">
        <v>54</v>
      </c>
      <c r="BA1273" s="7">
        <v>3.8</v>
      </c>
      <c r="BB1273" s="9">
        <v>215</v>
      </c>
      <c r="BC1273" s="8" t="s">
        <v>178</v>
      </c>
      <c r="BD1273" s="8">
        <v>1.4</v>
      </c>
      <c r="BE1273" s="8">
        <v>1.5</v>
      </c>
      <c r="BF1273" s="8">
        <v>2.6</v>
      </c>
      <c r="BG1273" s="8">
        <v>5.4</v>
      </c>
      <c r="BH1273" s="8">
        <v>7.5</v>
      </c>
      <c r="BI1273" s="8">
        <v>11.5</v>
      </c>
      <c r="BJ1273" s="8">
        <v>14.6</v>
      </c>
      <c r="BK1273" s="8">
        <v>12.6</v>
      </c>
      <c r="BL1273" s="8">
        <v>8.8000000000000007</v>
      </c>
      <c r="BM1273" s="8">
        <v>5.5</v>
      </c>
      <c r="BN1273" s="8">
        <v>3.3</v>
      </c>
      <c r="BO1273" s="8">
        <v>1.9</v>
      </c>
      <c r="BP1273" s="7">
        <v>6.4</v>
      </c>
    </row>
    <row r="1274" spans="1:68" ht="14.25" customHeight="1">
      <c r="A1274" s="12">
        <v>617</v>
      </c>
      <c r="B1274" s="14">
        <v>647</v>
      </c>
      <c r="C1274" s="13" t="s">
        <v>52</v>
      </c>
      <c r="D1274" s="13" t="s">
        <v>177</v>
      </c>
      <c r="E1274" s="13" t="s">
        <v>175</v>
      </c>
      <c r="F1274" s="11">
        <v>-7.1</v>
      </c>
      <c r="G1274" s="11">
        <v>-5.6</v>
      </c>
      <c r="H1274" s="11">
        <v>-0.6</v>
      </c>
      <c r="I1274" s="11">
        <v>7.8</v>
      </c>
      <c r="J1274" s="11">
        <v>14.5</v>
      </c>
      <c r="K1274" s="11">
        <v>17.600000000000001</v>
      </c>
      <c r="L1274" s="11">
        <v>18.7</v>
      </c>
      <c r="M1274" s="11">
        <v>17.7</v>
      </c>
      <c r="N1274" s="11">
        <v>12.8</v>
      </c>
      <c r="O1274" s="11">
        <v>6.8</v>
      </c>
      <c r="P1274" s="11">
        <v>1.2</v>
      </c>
      <c r="Q1274" s="11">
        <v>-3.3</v>
      </c>
      <c r="R1274" s="10">
        <v>6.7</v>
      </c>
      <c r="S1274" s="12">
        <v>636</v>
      </c>
      <c r="T1274" s="8" t="s">
        <v>175</v>
      </c>
      <c r="U1274" s="11">
        <v>-31</v>
      </c>
      <c r="V1274" s="11">
        <v>-28</v>
      </c>
      <c r="W1274" s="11">
        <v>-27</v>
      </c>
      <c r="X1274" s="11">
        <v>-23</v>
      </c>
      <c r="Y1274" s="11">
        <v>-10</v>
      </c>
      <c r="Z1274" s="11">
        <v>-36</v>
      </c>
      <c r="AA1274" s="11" t="s">
        <v>49</v>
      </c>
      <c r="AB1274" s="11">
        <v>115</v>
      </c>
      <c r="AC1274" s="11">
        <v>-4.5</v>
      </c>
      <c r="AD1274" s="11">
        <v>185</v>
      </c>
      <c r="AE1274" s="11">
        <v>-1.4</v>
      </c>
      <c r="AF1274" s="11">
        <v>202</v>
      </c>
      <c r="AG1274" s="11">
        <v>-0.5</v>
      </c>
      <c r="AH1274" s="11" t="s">
        <v>49</v>
      </c>
      <c r="AI1274" s="11" t="s">
        <v>49</v>
      </c>
      <c r="AJ1274" s="11">
        <v>210</v>
      </c>
      <c r="AK1274" s="11" t="s">
        <v>34</v>
      </c>
      <c r="AL1274" s="11" t="s">
        <v>44</v>
      </c>
      <c r="AM1274" s="10" t="s">
        <v>44</v>
      </c>
      <c r="AN1274" s="9">
        <v>637</v>
      </c>
      <c r="AO1274" s="8" t="s">
        <v>176</v>
      </c>
      <c r="AP1274" s="8">
        <v>1000</v>
      </c>
      <c r="AQ1274" s="8">
        <v>28</v>
      </c>
      <c r="AR1274" s="8">
        <v>23</v>
      </c>
      <c r="AS1274" s="8">
        <v>24.5</v>
      </c>
      <c r="AT1274" s="8">
        <v>39</v>
      </c>
      <c r="AU1274" s="8" t="s">
        <v>46</v>
      </c>
      <c r="AV1274" s="8" t="s">
        <v>45</v>
      </c>
      <c r="AW1274" s="8" t="s">
        <v>44</v>
      </c>
      <c r="AX1274" s="8" t="s">
        <v>44</v>
      </c>
      <c r="AY1274" s="8">
        <v>78</v>
      </c>
      <c r="AZ1274" s="8" t="s">
        <v>32</v>
      </c>
      <c r="BA1274" s="7">
        <v>2.1</v>
      </c>
      <c r="BB1274" s="9"/>
      <c r="BC1274" s="8" t="s">
        <v>175</v>
      </c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7"/>
    </row>
    <row r="1275" spans="1:68" ht="14.25" customHeight="1">
      <c r="A1275" s="12">
        <v>618</v>
      </c>
      <c r="B1275" s="14">
        <v>648</v>
      </c>
      <c r="C1275" s="13" t="s">
        <v>52</v>
      </c>
      <c r="D1275" s="13" t="s">
        <v>174</v>
      </c>
      <c r="E1275" s="13" t="s">
        <v>172</v>
      </c>
      <c r="F1275" s="11">
        <v>-4.9000000000000004</v>
      </c>
      <c r="G1275" s="11">
        <v>-2.9</v>
      </c>
      <c r="H1275" s="11">
        <v>1.7</v>
      </c>
      <c r="I1275" s="11">
        <v>8.6999999999999993</v>
      </c>
      <c r="J1275" s="11">
        <v>14.3</v>
      </c>
      <c r="K1275" s="11">
        <v>17.399999999999999</v>
      </c>
      <c r="L1275" s="11">
        <v>18.7</v>
      </c>
      <c r="M1275" s="11">
        <v>18</v>
      </c>
      <c r="N1275" s="11">
        <v>14.3</v>
      </c>
      <c r="O1275" s="11">
        <v>8.6</v>
      </c>
      <c r="P1275" s="11">
        <v>2.9</v>
      </c>
      <c r="Q1275" s="11">
        <v>-1.9</v>
      </c>
      <c r="R1275" s="10">
        <v>7.9</v>
      </c>
      <c r="S1275" s="12">
        <v>637</v>
      </c>
      <c r="T1275" s="8" t="s">
        <v>172</v>
      </c>
      <c r="U1275" s="11">
        <v>-26</v>
      </c>
      <c r="V1275" s="11">
        <v>-24</v>
      </c>
      <c r="W1275" s="11">
        <v>-22</v>
      </c>
      <c r="X1275" s="11">
        <v>-20</v>
      </c>
      <c r="Y1275" s="11">
        <v>-9</v>
      </c>
      <c r="Z1275" s="11">
        <v>-32</v>
      </c>
      <c r="AA1275" s="11" t="s">
        <v>49</v>
      </c>
      <c r="AB1275" s="11">
        <v>92</v>
      </c>
      <c r="AC1275" s="11">
        <v>-3.2</v>
      </c>
      <c r="AD1275" s="11">
        <v>173</v>
      </c>
      <c r="AE1275" s="11">
        <v>0</v>
      </c>
      <c r="AF1275" s="11">
        <v>191</v>
      </c>
      <c r="AG1275" s="11">
        <v>0.9</v>
      </c>
      <c r="AH1275" s="11" t="s">
        <v>49</v>
      </c>
      <c r="AI1275" s="11" t="s">
        <v>49</v>
      </c>
      <c r="AJ1275" s="11">
        <v>173</v>
      </c>
      <c r="AK1275" s="11" t="s">
        <v>75</v>
      </c>
      <c r="AL1275" s="11">
        <v>6.3</v>
      </c>
      <c r="AM1275" s="10" t="s">
        <v>44</v>
      </c>
      <c r="AN1275" s="9">
        <v>638</v>
      </c>
      <c r="AO1275" s="8" t="s">
        <v>173</v>
      </c>
      <c r="AP1275" s="8">
        <v>990</v>
      </c>
      <c r="AQ1275" s="8">
        <v>26</v>
      </c>
      <c r="AR1275" s="8">
        <v>23</v>
      </c>
      <c r="AS1275" s="8">
        <v>24.5</v>
      </c>
      <c r="AT1275" s="8">
        <v>38</v>
      </c>
      <c r="AU1275" s="8" t="s">
        <v>46</v>
      </c>
      <c r="AV1275" s="8" t="s">
        <v>45</v>
      </c>
      <c r="AW1275" s="8" t="s">
        <v>44</v>
      </c>
      <c r="AX1275" s="8" t="s">
        <v>44</v>
      </c>
      <c r="AY1275" s="8">
        <v>117</v>
      </c>
      <c r="AZ1275" s="8" t="s">
        <v>54</v>
      </c>
      <c r="BA1275" s="7">
        <v>2</v>
      </c>
      <c r="BB1275" s="9"/>
      <c r="BC1275" s="8" t="s">
        <v>172</v>
      </c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7"/>
    </row>
    <row r="1276" spans="1:68" ht="14.25" customHeight="1">
      <c r="A1276" s="12">
        <v>619</v>
      </c>
      <c r="B1276" s="14">
        <v>35</v>
      </c>
      <c r="C1276" s="13" t="s">
        <v>30</v>
      </c>
      <c r="D1276" s="13" t="s">
        <v>99</v>
      </c>
      <c r="E1276" s="13" t="s">
        <v>169</v>
      </c>
      <c r="F1276" s="11">
        <v>-27.9</v>
      </c>
      <c r="G1276" s="11">
        <v>-22.4</v>
      </c>
      <c r="H1276" s="11">
        <v>-12.5</v>
      </c>
      <c r="I1276" s="11">
        <v>0.2</v>
      </c>
      <c r="J1276" s="11">
        <v>8.8000000000000007</v>
      </c>
      <c r="K1276" s="11">
        <v>16.100000000000001</v>
      </c>
      <c r="L1276" s="11">
        <v>19.600000000000001</v>
      </c>
      <c r="M1276" s="11">
        <v>16.8</v>
      </c>
      <c r="N1276" s="11">
        <v>9.6999999999999993</v>
      </c>
      <c r="O1276" s="11">
        <v>-1.2</v>
      </c>
      <c r="P1276" s="11">
        <v>-16</v>
      </c>
      <c r="Q1276" s="11">
        <v>-25.9</v>
      </c>
      <c r="R1276" s="10">
        <v>-2.9</v>
      </c>
      <c r="S1276" s="12">
        <v>35</v>
      </c>
      <c r="T1276" s="8" t="s">
        <v>171</v>
      </c>
      <c r="U1276" s="11">
        <v>-45</v>
      </c>
      <c r="V1276" s="11">
        <v>-43</v>
      </c>
      <c r="W1276" s="11">
        <v>-42</v>
      </c>
      <c r="X1276" s="11">
        <v>-41</v>
      </c>
      <c r="Y1276" s="11">
        <v>-33</v>
      </c>
      <c r="Z1276" s="11">
        <v>-52</v>
      </c>
      <c r="AA1276" s="11">
        <v>13</v>
      </c>
      <c r="AB1276" s="11">
        <v>184</v>
      </c>
      <c r="AC1276" s="11">
        <v>-17.2</v>
      </c>
      <c r="AD1276" s="11">
        <v>235</v>
      </c>
      <c r="AE1276" s="11">
        <v>-12.7</v>
      </c>
      <c r="AF1276" s="11">
        <v>249</v>
      </c>
      <c r="AG1276" s="11">
        <v>-11.5</v>
      </c>
      <c r="AH1276" s="11">
        <v>72</v>
      </c>
      <c r="AI1276" s="11">
        <v>67</v>
      </c>
      <c r="AJ1276" s="11">
        <v>40</v>
      </c>
      <c r="AK1276" s="11" t="s">
        <v>75</v>
      </c>
      <c r="AL1276" s="11">
        <v>1.9</v>
      </c>
      <c r="AM1276" s="10" t="s">
        <v>44</v>
      </c>
      <c r="AN1276" s="9">
        <v>35</v>
      </c>
      <c r="AO1276" s="8" t="s">
        <v>170</v>
      </c>
      <c r="AP1276" s="8">
        <v>980</v>
      </c>
      <c r="AQ1276" s="8">
        <v>23.5</v>
      </c>
      <c r="AR1276" s="8">
        <v>27.6</v>
      </c>
      <c r="AS1276" s="8">
        <v>25.9</v>
      </c>
      <c r="AT1276" s="8">
        <v>37</v>
      </c>
      <c r="AU1276" s="8">
        <v>12.4</v>
      </c>
      <c r="AV1276" s="8">
        <v>78</v>
      </c>
      <c r="AW1276" s="8">
        <v>59</v>
      </c>
      <c r="AX1276" s="8">
        <v>415</v>
      </c>
      <c r="AY1276" s="8">
        <v>86</v>
      </c>
      <c r="AZ1276" s="8" t="s">
        <v>37</v>
      </c>
      <c r="BA1276" s="7" t="s">
        <v>46</v>
      </c>
      <c r="BB1276" s="9">
        <v>22</v>
      </c>
      <c r="BC1276" s="8" t="s">
        <v>169</v>
      </c>
      <c r="BD1276" s="8">
        <v>0.6</v>
      </c>
      <c r="BE1276" s="8">
        <v>0.8</v>
      </c>
      <c r="BF1276" s="8">
        <v>1.7</v>
      </c>
      <c r="BG1276" s="8">
        <v>3.8</v>
      </c>
      <c r="BH1276" s="8">
        <v>6.7</v>
      </c>
      <c r="BI1276" s="8">
        <v>13</v>
      </c>
      <c r="BJ1276" s="8">
        <v>17.7</v>
      </c>
      <c r="BK1276" s="8">
        <v>15.7</v>
      </c>
      <c r="BL1276" s="8">
        <v>9.1999999999999993</v>
      </c>
      <c r="BM1276" s="8">
        <v>4</v>
      </c>
      <c r="BN1276" s="8">
        <v>1.5</v>
      </c>
      <c r="BO1276" s="8">
        <v>0.7</v>
      </c>
      <c r="BP1276" s="7">
        <v>6.3</v>
      </c>
    </row>
    <row r="1277" spans="1:68" ht="14.25" customHeight="1">
      <c r="A1277" s="12">
        <v>620</v>
      </c>
      <c r="B1277" s="14">
        <v>589</v>
      </c>
      <c r="C1277" s="13" t="s">
        <v>117</v>
      </c>
      <c r="D1277" s="13" t="s">
        <v>168</v>
      </c>
      <c r="E1277" s="13" t="s">
        <v>166</v>
      </c>
      <c r="F1277" s="11">
        <v>-6.1</v>
      </c>
      <c r="G1277" s="11">
        <v>-4.5</v>
      </c>
      <c r="H1277" s="11">
        <v>2.4</v>
      </c>
      <c r="I1277" s="11">
        <v>12.4</v>
      </c>
      <c r="J1277" s="11">
        <v>19.899999999999999</v>
      </c>
      <c r="K1277" s="11">
        <v>24.4</v>
      </c>
      <c r="L1277" s="11">
        <v>26.4</v>
      </c>
      <c r="M1277" s="11">
        <v>24.1</v>
      </c>
      <c r="N1277" s="11">
        <v>17.899999999999999</v>
      </c>
      <c r="O1277" s="11">
        <v>9.8000000000000007</v>
      </c>
      <c r="P1277" s="11">
        <v>2.1</v>
      </c>
      <c r="Q1277" s="11">
        <v>-3.8</v>
      </c>
      <c r="R1277" s="10">
        <v>10.4</v>
      </c>
      <c r="S1277" s="12">
        <v>578</v>
      </c>
      <c r="T1277" s="8" t="s">
        <v>166</v>
      </c>
      <c r="U1277" s="11">
        <v>-27</v>
      </c>
      <c r="V1277" s="11">
        <v>-24</v>
      </c>
      <c r="W1277" s="11">
        <v>-23</v>
      </c>
      <c r="X1277" s="11" t="s">
        <v>64</v>
      </c>
      <c r="Y1277" s="11">
        <v>-10</v>
      </c>
      <c r="Z1277" s="11">
        <v>-34</v>
      </c>
      <c r="AA1277" s="11">
        <v>9.4</v>
      </c>
      <c r="AB1277" s="11">
        <v>100</v>
      </c>
      <c r="AC1277" s="11" t="s">
        <v>45</v>
      </c>
      <c r="AD1277" s="11">
        <v>163</v>
      </c>
      <c r="AE1277" s="11">
        <v>-1.3</v>
      </c>
      <c r="AF1277" s="11" t="s">
        <v>114</v>
      </c>
      <c r="AG1277" s="11" t="s">
        <v>44</v>
      </c>
      <c r="AH1277" s="11" t="s">
        <v>49</v>
      </c>
      <c r="AI1277" s="11" t="s">
        <v>49</v>
      </c>
      <c r="AJ1277" s="11" t="s">
        <v>84</v>
      </c>
      <c r="AK1277" s="11" t="s">
        <v>44</v>
      </c>
      <c r="AL1277" s="11">
        <v>3</v>
      </c>
      <c r="AM1277" s="10" t="s">
        <v>44</v>
      </c>
      <c r="AN1277" s="9">
        <v>579</v>
      </c>
      <c r="AO1277" s="8" t="s">
        <v>167</v>
      </c>
      <c r="AP1277" s="8">
        <v>1010</v>
      </c>
      <c r="AQ1277" s="8">
        <v>34.700000000000003</v>
      </c>
      <c r="AR1277" s="8">
        <v>39.200000000000003</v>
      </c>
      <c r="AS1277" s="8">
        <v>34.200000000000003</v>
      </c>
      <c r="AT1277" s="8">
        <v>44</v>
      </c>
      <c r="AU1277" s="8">
        <v>15.1</v>
      </c>
      <c r="AV1277" s="8" t="s">
        <v>45</v>
      </c>
      <c r="AW1277" s="8" t="s">
        <v>44</v>
      </c>
      <c r="AX1277" s="8" t="s">
        <v>44</v>
      </c>
      <c r="AY1277" s="8">
        <v>33</v>
      </c>
      <c r="AZ1277" s="8" t="s">
        <v>114</v>
      </c>
      <c r="BA1277" s="7">
        <v>0</v>
      </c>
      <c r="BB1277" s="9"/>
      <c r="BC1277" s="8" t="s">
        <v>166</v>
      </c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7"/>
    </row>
    <row r="1278" spans="1:68" ht="14.25" customHeight="1">
      <c r="A1278" s="12">
        <v>621</v>
      </c>
      <c r="B1278" s="14">
        <v>538</v>
      </c>
      <c r="C1278" s="13" t="s">
        <v>121</v>
      </c>
      <c r="D1278" s="13" t="s">
        <v>165</v>
      </c>
      <c r="E1278" s="13" t="s">
        <v>163</v>
      </c>
      <c r="F1278" s="11">
        <v>-2</v>
      </c>
      <c r="G1278" s="11">
        <v>0</v>
      </c>
      <c r="H1278" s="11">
        <v>5.6</v>
      </c>
      <c r="I1278" s="11">
        <v>13.1</v>
      </c>
      <c r="J1278" s="11">
        <v>18.399999999999999</v>
      </c>
      <c r="K1278" s="11">
        <v>23.5</v>
      </c>
      <c r="L1278" s="11">
        <v>26.3</v>
      </c>
      <c r="M1278" s="11">
        <v>24.8</v>
      </c>
      <c r="N1278" s="11">
        <v>19.3</v>
      </c>
      <c r="O1278" s="11">
        <v>12.3</v>
      </c>
      <c r="P1278" s="11">
        <v>5.2</v>
      </c>
      <c r="Q1278" s="11">
        <v>0.2</v>
      </c>
      <c r="R1278" s="10">
        <v>12.2</v>
      </c>
      <c r="S1278" s="12">
        <v>538</v>
      </c>
      <c r="T1278" s="8" t="s">
        <v>163</v>
      </c>
      <c r="U1278" s="11">
        <v>-26</v>
      </c>
      <c r="V1278" s="11">
        <v>-25</v>
      </c>
      <c r="W1278" s="11">
        <v>-17</v>
      </c>
      <c r="X1278" s="11">
        <v>-15</v>
      </c>
      <c r="Y1278" s="11" t="s">
        <v>49</v>
      </c>
      <c r="Z1278" s="11" t="s">
        <v>44</v>
      </c>
      <c r="AA1278" s="11">
        <v>9.8000000000000007</v>
      </c>
      <c r="AB1278" s="11">
        <v>61</v>
      </c>
      <c r="AC1278" s="11">
        <v>-1.9</v>
      </c>
      <c r="AD1278" s="11">
        <v>143</v>
      </c>
      <c r="AE1278" s="11">
        <v>1.5</v>
      </c>
      <c r="AF1278" s="11">
        <v>160</v>
      </c>
      <c r="AG1278" s="11">
        <v>2.2000000000000002</v>
      </c>
      <c r="AH1278" s="11" t="s">
        <v>49</v>
      </c>
      <c r="AI1278" s="11" t="s">
        <v>49</v>
      </c>
      <c r="AJ1278" s="11">
        <v>368</v>
      </c>
      <c r="AK1278" s="11" t="s">
        <v>66</v>
      </c>
      <c r="AL1278" s="11">
        <v>4.3</v>
      </c>
      <c r="AM1278" s="10">
        <v>2.5</v>
      </c>
      <c r="AN1278" s="9">
        <v>538</v>
      </c>
      <c r="AO1278" s="8" t="s">
        <v>164</v>
      </c>
      <c r="AP1278" s="8" t="s">
        <v>64</v>
      </c>
      <c r="AQ1278" s="8" t="s">
        <v>45</v>
      </c>
      <c r="AR1278" s="8" t="s">
        <v>44</v>
      </c>
      <c r="AS1278" s="8">
        <v>33</v>
      </c>
      <c r="AT1278" s="8">
        <v>44</v>
      </c>
      <c r="AU1278" s="8">
        <v>14.9</v>
      </c>
      <c r="AV1278" s="8" t="s">
        <v>45</v>
      </c>
      <c r="AW1278" s="8" t="s">
        <v>44</v>
      </c>
      <c r="AX1278" s="8">
        <v>208</v>
      </c>
      <c r="AY1278" s="8" t="s">
        <v>64</v>
      </c>
      <c r="AZ1278" s="8" t="s">
        <v>63</v>
      </c>
      <c r="BA1278" s="7">
        <v>2.4</v>
      </c>
      <c r="BB1278" s="9"/>
      <c r="BC1278" s="8" t="s">
        <v>163</v>
      </c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7"/>
    </row>
    <row r="1279" spans="1:68" ht="14.25" customHeight="1">
      <c r="A1279" s="12">
        <v>622</v>
      </c>
      <c r="B1279" s="14">
        <v>390</v>
      </c>
      <c r="C1279" s="13" t="s">
        <v>30</v>
      </c>
      <c r="D1279" s="13" t="s">
        <v>162</v>
      </c>
      <c r="E1279" s="13" t="s">
        <v>159</v>
      </c>
      <c r="F1279" s="11">
        <v>-26.2</v>
      </c>
      <c r="G1279" s="11">
        <v>-22.2</v>
      </c>
      <c r="H1279" s="11">
        <v>-11.1</v>
      </c>
      <c r="I1279" s="11">
        <v>-0.4</v>
      </c>
      <c r="J1279" s="11">
        <v>8.4</v>
      </c>
      <c r="K1279" s="11">
        <v>15.7</v>
      </c>
      <c r="L1279" s="11">
        <v>17.8</v>
      </c>
      <c r="M1279" s="11">
        <v>15.2</v>
      </c>
      <c r="N1279" s="11">
        <v>7.7</v>
      </c>
      <c r="O1279" s="11">
        <v>-1.8</v>
      </c>
      <c r="P1279" s="11">
        <v>-14.3</v>
      </c>
      <c r="Q1279" s="11">
        <v>-23.5</v>
      </c>
      <c r="R1279" s="10">
        <v>-2.9</v>
      </c>
      <c r="S1279" s="12">
        <v>390</v>
      </c>
      <c r="T1279" s="8" t="s">
        <v>161</v>
      </c>
      <c r="U1279" s="11">
        <v>-44</v>
      </c>
      <c r="V1279" s="11">
        <v>-41</v>
      </c>
      <c r="W1279" s="11">
        <v>-42</v>
      </c>
      <c r="X1279" s="11">
        <v>-38</v>
      </c>
      <c r="Y1279" s="11">
        <v>-31</v>
      </c>
      <c r="Z1279" s="11">
        <v>-47</v>
      </c>
      <c r="AA1279" s="11">
        <v>14.5</v>
      </c>
      <c r="AB1279" s="11">
        <v>189</v>
      </c>
      <c r="AC1279" s="11">
        <v>-15.8</v>
      </c>
      <c r="AD1279" s="11">
        <v>242</v>
      </c>
      <c r="AE1279" s="11">
        <v>-11.4</v>
      </c>
      <c r="AF1279" s="11">
        <v>258</v>
      </c>
      <c r="AG1279" s="11">
        <v>-10.1</v>
      </c>
      <c r="AH1279" s="11">
        <v>75</v>
      </c>
      <c r="AI1279" s="11">
        <v>64</v>
      </c>
      <c r="AJ1279" s="11">
        <v>20</v>
      </c>
      <c r="AK1279" s="11" t="s">
        <v>66</v>
      </c>
      <c r="AL1279" s="11">
        <v>3.2</v>
      </c>
      <c r="AM1279" s="10">
        <v>2.4</v>
      </c>
      <c r="AN1279" s="9">
        <v>390</v>
      </c>
      <c r="AO1279" s="8" t="s">
        <v>160</v>
      </c>
      <c r="AP1279" s="8">
        <v>935</v>
      </c>
      <c r="AQ1279" s="8">
        <v>22.8</v>
      </c>
      <c r="AR1279" s="8">
        <v>26.9</v>
      </c>
      <c r="AS1279" s="8">
        <v>25.2</v>
      </c>
      <c r="AT1279" s="8">
        <v>38</v>
      </c>
      <c r="AU1279" s="8">
        <v>14.2</v>
      </c>
      <c r="AV1279" s="8">
        <v>71</v>
      </c>
      <c r="AW1279" s="8">
        <v>53</v>
      </c>
      <c r="AX1279" s="8">
        <v>316</v>
      </c>
      <c r="AY1279" s="8">
        <v>51</v>
      </c>
      <c r="AZ1279" s="8" t="s">
        <v>32</v>
      </c>
      <c r="BA1279" s="7">
        <v>0</v>
      </c>
      <c r="BB1279" s="9">
        <v>354</v>
      </c>
      <c r="BC1279" s="8" t="s">
        <v>159</v>
      </c>
      <c r="BD1279" s="8">
        <v>0.6</v>
      </c>
      <c r="BE1279" s="8">
        <v>0.9</v>
      </c>
      <c r="BF1279" s="8">
        <v>1.7</v>
      </c>
      <c r="BG1279" s="8">
        <v>2.8</v>
      </c>
      <c r="BH1279" s="8">
        <v>4.7</v>
      </c>
      <c r="BI1279" s="8">
        <v>9.5</v>
      </c>
      <c r="BJ1279" s="8">
        <v>13.8</v>
      </c>
      <c r="BK1279" s="8">
        <v>12.4</v>
      </c>
      <c r="BL1279" s="8">
        <v>7.1</v>
      </c>
      <c r="BM1279" s="8">
        <v>3.5</v>
      </c>
      <c r="BN1279" s="8">
        <v>1.6</v>
      </c>
      <c r="BO1279" s="8">
        <v>0.9</v>
      </c>
      <c r="BP1279" s="7">
        <v>5</v>
      </c>
    </row>
    <row r="1280" spans="1:68" ht="14.25" customHeight="1">
      <c r="A1280" s="12">
        <v>623</v>
      </c>
      <c r="B1280" s="14">
        <v>540</v>
      </c>
      <c r="C1280" s="13" t="s">
        <v>158</v>
      </c>
      <c r="D1280" s="13" t="s">
        <v>157</v>
      </c>
      <c r="E1280" s="13" t="s">
        <v>155</v>
      </c>
      <c r="F1280" s="11">
        <v>-3.4</v>
      </c>
      <c r="G1280" s="11">
        <v>-2.1</v>
      </c>
      <c r="H1280" s="11">
        <v>1.7</v>
      </c>
      <c r="I1280" s="11">
        <v>7.1</v>
      </c>
      <c r="J1280" s="11">
        <v>11.3</v>
      </c>
      <c r="K1280" s="11">
        <v>14.6</v>
      </c>
      <c r="L1280" s="11">
        <v>17</v>
      </c>
      <c r="M1280" s="11">
        <v>16.7</v>
      </c>
      <c r="N1280" s="11">
        <v>13.1</v>
      </c>
      <c r="O1280" s="11">
        <v>7.8</v>
      </c>
      <c r="P1280" s="11">
        <v>1.9</v>
      </c>
      <c r="Q1280" s="11">
        <v>-1.6</v>
      </c>
      <c r="R1280" s="10">
        <v>7</v>
      </c>
      <c r="S1280" s="12">
        <v>540</v>
      </c>
      <c r="T1280" s="8" t="s">
        <v>155</v>
      </c>
      <c r="U1280" s="11">
        <v>-14</v>
      </c>
      <c r="V1280" s="11">
        <v>-13</v>
      </c>
      <c r="W1280" s="11">
        <v>-11</v>
      </c>
      <c r="X1280" s="11">
        <v>-10</v>
      </c>
      <c r="Y1280" s="11" t="s">
        <v>49</v>
      </c>
      <c r="Z1280" s="11" t="s">
        <v>44</v>
      </c>
      <c r="AA1280" s="11" t="s">
        <v>49</v>
      </c>
      <c r="AB1280" s="11" t="s">
        <v>84</v>
      </c>
      <c r="AC1280" s="11" t="s">
        <v>45</v>
      </c>
      <c r="AD1280" s="11" t="s">
        <v>84</v>
      </c>
      <c r="AE1280" s="11" t="s">
        <v>44</v>
      </c>
      <c r="AF1280" s="11" t="s">
        <v>114</v>
      </c>
      <c r="AG1280" s="11" t="s">
        <v>44</v>
      </c>
      <c r="AH1280" s="11">
        <v>71</v>
      </c>
      <c r="AI1280" s="11">
        <v>61</v>
      </c>
      <c r="AJ1280" s="11" t="s">
        <v>84</v>
      </c>
      <c r="AK1280" s="11" t="s">
        <v>44</v>
      </c>
      <c r="AL1280" s="11" t="s">
        <v>44</v>
      </c>
      <c r="AM1280" s="10" t="s">
        <v>44</v>
      </c>
      <c r="AN1280" s="9">
        <v>540</v>
      </c>
      <c r="AO1280" s="8" t="s">
        <v>156</v>
      </c>
      <c r="AP1280" s="8" t="s">
        <v>64</v>
      </c>
      <c r="AQ1280" s="8" t="s">
        <v>45</v>
      </c>
      <c r="AR1280" s="8" t="s">
        <v>44</v>
      </c>
      <c r="AS1280" s="8" t="s">
        <v>45</v>
      </c>
      <c r="AT1280" s="8">
        <v>31</v>
      </c>
      <c r="AU1280" s="8" t="s">
        <v>46</v>
      </c>
      <c r="AV1280" s="8">
        <v>66</v>
      </c>
      <c r="AW1280" s="8">
        <v>56</v>
      </c>
      <c r="AX1280" s="8">
        <v>231</v>
      </c>
      <c r="AY1280" s="8">
        <v>40</v>
      </c>
      <c r="AZ1280" s="8" t="s">
        <v>43</v>
      </c>
      <c r="BA1280" s="7">
        <v>0.9</v>
      </c>
      <c r="BB1280" s="9"/>
      <c r="BC1280" s="8" t="s">
        <v>155</v>
      </c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7"/>
    </row>
    <row r="1281" spans="1:68" ht="14.25" customHeight="1">
      <c r="A1281" s="12">
        <v>624</v>
      </c>
      <c r="B1281" s="14">
        <v>270</v>
      </c>
      <c r="C1281" s="13" t="s">
        <v>30</v>
      </c>
      <c r="D1281" s="13" t="s">
        <v>154</v>
      </c>
      <c r="E1281" s="13" t="s">
        <v>150</v>
      </c>
      <c r="F1281" s="11">
        <v>-21.3</v>
      </c>
      <c r="G1281" s="11">
        <v>-17.3</v>
      </c>
      <c r="H1281" s="11">
        <v>-6.7</v>
      </c>
      <c r="I1281" s="11">
        <v>4.3</v>
      </c>
      <c r="J1281" s="11">
        <v>11.5</v>
      </c>
      <c r="K1281" s="11">
        <v>16.3</v>
      </c>
      <c r="L1281" s="11">
        <v>20.399999999999999</v>
      </c>
      <c r="M1281" s="11">
        <v>19.5</v>
      </c>
      <c r="N1281" s="11">
        <v>12.5</v>
      </c>
      <c r="O1281" s="11">
        <v>4.4000000000000004</v>
      </c>
      <c r="P1281" s="11">
        <v>-7.2</v>
      </c>
      <c r="Q1281" s="11">
        <v>-17.899999999999999</v>
      </c>
      <c r="R1281" s="10">
        <v>1.5</v>
      </c>
      <c r="S1281" s="12">
        <v>270</v>
      </c>
      <c r="T1281" s="8" t="s">
        <v>153</v>
      </c>
      <c r="U1281" s="11">
        <v>-36</v>
      </c>
      <c r="V1281" s="11">
        <v>-35</v>
      </c>
      <c r="W1281" s="11">
        <v>-33</v>
      </c>
      <c r="X1281" s="11">
        <v>-32</v>
      </c>
      <c r="Y1281" s="11">
        <v>-26</v>
      </c>
      <c r="Z1281" s="11">
        <v>-47</v>
      </c>
      <c r="AA1281" s="11">
        <v>17.2</v>
      </c>
      <c r="AB1281" s="11">
        <v>158</v>
      </c>
      <c r="AC1281" s="11">
        <v>-12.9</v>
      </c>
      <c r="AD1281" s="11">
        <v>211</v>
      </c>
      <c r="AE1281" s="11">
        <v>-8.6</v>
      </c>
      <c r="AF1281" s="11">
        <v>227</v>
      </c>
      <c r="AG1281" s="11">
        <v>-7.3</v>
      </c>
      <c r="AH1281" s="11">
        <v>76</v>
      </c>
      <c r="AI1281" s="11">
        <v>65</v>
      </c>
      <c r="AJ1281" s="11">
        <v>129</v>
      </c>
      <c r="AK1281" s="11" t="s">
        <v>75</v>
      </c>
      <c r="AL1281" s="11" t="s">
        <v>44</v>
      </c>
      <c r="AM1281" s="10">
        <v>1.4</v>
      </c>
      <c r="AN1281" s="9">
        <v>270</v>
      </c>
      <c r="AO1281" s="8" t="s">
        <v>152</v>
      </c>
      <c r="AP1281" s="8">
        <v>985</v>
      </c>
      <c r="AQ1281" s="8">
        <v>25.1</v>
      </c>
      <c r="AR1281" s="8">
        <v>29.1</v>
      </c>
      <c r="AS1281" s="8">
        <v>27.5</v>
      </c>
      <c r="AT1281" s="8">
        <v>38</v>
      </c>
      <c r="AU1281" s="8">
        <v>13.1</v>
      </c>
      <c r="AV1281" s="8">
        <v>79</v>
      </c>
      <c r="AW1281" s="8">
        <v>61</v>
      </c>
      <c r="AX1281" s="8">
        <v>593</v>
      </c>
      <c r="AY1281" s="8">
        <v>96</v>
      </c>
      <c r="AZ1281" s="8" t="s">
        <v>151</v>
      </c>
      <c r="BA1281" s="7" t="s">
        <v>46</v>
      </c>
      <c r="BB1281" s="9">
        <v>241</v>
      </c>
      <c r="BC1281" s="8" t="s">
        <v>150</v>
      </c>
      <c r="BD1281" s="8">
        <v>1</v>
      </c>
      <c r="BE1281" s="8">
        <v>1.3</v>
      </c>
      <c r="BF1281" s="8">
        <v>2.7</v>
      </c>
      <c r="BG1281" s="8">
        <v>5</v>
      </c>
      <c r="BH1281" s="8">
        <v>8.3000000000000007</v>
      </c>
      <c r="BI1281" s="8">
        <v>13.7</v>
      </c>
      <c r="BJ1281" s="8">
        <v>18.8</v>
      </c>
      <c r="BK1281" s="8">
        <v>18.5</v>
      </c>
      <c r="BL1281" s="8">
        <v>11.5</v>
      </c>
      <c r="BM1281" s="8">
        <v>6.2</v>
      </c>
      <c r="BN1281" s="8">
        <v>3</v>
      </c>
      <c r="BO1281" s="8">
        <v>1.4</v>
      </c>
      <c r="BP1281" s="7">
        <v>7.6</v>
      </c>
    </row>
    <row r="1282" spans="1:68" ht="14.25" customHeight="1">
      <c r="A1282" s="12">
        <v>625</v>
      </c>
      <c r="B1282" s="14">
        <v>240</v>
      </c>
      <c r="C1282" s="13" t="s">
        <v>30</v>
      </c>
      <c r="D1282" s="13" t="s">
        <v>149</v>
      </c>
      <c r="E1282" s="13" t="s">
        <v>146</v>
      </c>
      <c r="F1282" s="11">
        <v>-19.5</v>
      </c>
      <c r="G1282" s="11">
        <v>-17.899999999999999</v>
      </c>
      <c r="H1282" s="11">
        <v>-11.3</v>
      </c>
      <c r="I1282" s="11">
        <v>0.3</v>
      </c>
      <c r="J1282" s="11">
        <v>10.1</v>
      </c>
      <c r="K1282" s="11">
        <v>16.399999999999999</v>
      </c>
      <c r="L1282" s="11">
        <v>18.5</v>
      </c>
      <c r="M1282" s="11">
        <v>15.5</v>
      </c>
      <c r="N1282" s="11">
        <v>9.6999999999999993</v>
      </c>
      <c r="O1282" s="11">
        <v>1.3</v>
      </c>
      <c r="P1282" s="11">
        <v>-9.3000000000000007</v>
      </c>
      <c r="Q1282" s="11">
        <v>-17</v>
      </c>
      <c r="R1282" s="10">
        <v>-0.2</v>
      </c>
      <c r="S1282" s="12">
        <v>240</v>
      </c>
      <c r="T1282" s="8" t="s">
        <v>148</v>
      </c>
      <c r="U1282" s="11">
        <v>-44</v>
      </c>
      <c r="V1282" s="11">
        <v>-42</v>
      </c>
      <c r="W1282" s="11">
        <v>-42</v>
      </c>
      <c r="X1282" s="11">
        <v>-39</v>
      </c>
      <c r="Y1282" s="11">
        <v>-25</v>
      </c>
      <c r="Z1282" s="11">
        <v>-52</v>
      </c>
      <c r="AA1282" s="11">
        <v>9.1999999999999993</v>
      </c>
      <c r="AB1282" s="11">
        <v>177</v>
      </c>
      <c r="AC1282" s="11">
        <v>-12.7</v>
      </c>
      <c r="AD1282" s="11">
        <v>230</v>
      </c>
      <c r="AE1282" s="11">
        <v>-8.8000000000000007</v>
      </c>
      <c r="AF1282" s="11">
        <v>244</v>
      </c>
      <c r="AG1282" s="11">
        <v>-7.8</v>
      </c>
      <c r="AH1282" s="11">
        <v>80</v>
      </c>
      <c r="AI1282" s="11">
        <v>79</v>
      </c>
      <c r="AJ1282" s="11">
        <v>111</v>
      </c>
      <c r="AK1282" s="11" t="s">
        <v>39</v>
      </c>
      <c r="AL1282" s="11">
        <v>6.2</v>
      </c>
      <c r="AM1282" s="10" t="s">
        <v>44</v>
      </c>
      <c r="AN1282" s="9">
        <v>240</v>
      </c>
      <c r="AO1282" s="8" t="s">
        <v>147</v>
      </c>
      <c r="AP1282" s="8">
        <v>990</v>
      </c>
      <c r="AQ1282" s="8">
        <v>22.3</v>
      </c>
      <c r="AR1282" s="8">
        <v>26.5</v>
      </c>
      <c r="AS1282" s="8">
        <v>24.7</v>
      </c>
      <c r="AT1282" s="8">
        <v>40</v>
      </c>
      <c r="AU1282" s="8">
        <v>12.4</v>
      </c>
      <c r="AV1282" s="8">
        <v>73</v>
      </c>
      <c r="AW1282" s="8">
        <v>56</v>
      </c>
      <c r="AX1282" s="8">
        <v>310</v>
      </c>
      <c r="AY1282" s="8">
        <v>56</v>
      </c>
      <c r="AZ1282" s="8" t="s">
        <v>82</v>
      </c>
      <c r="BA1282" s="7">
        <v>3.4</v>
      </c>
      <c r="BB1282" s="9">
        <v>212</v>
      </c>
      <c r="BC1282" s="8" t="s">
        <v>146</v>
      </c>
      <c r="BD1282" s="8">
        <v>1.4</v>
      </c>
      <c r="BE1282" s="8">
        <v>1.5</v>
      </c>
      <c r="BF1282" s="8">
        <v>2.5</v>
      </c>
      <c r="BG1282" s="8">
        <v>4.9000000000000004</v>
      </c>
      <c r="BH1282" s="8">
        <v>7.4</v>
      </c>
      <c r="BI1282" s="8">
        <v>12</v>
      </c>
      <c r="BJ1282" s="8">
        <v>15.1</v>
      </c>
      <c r="BK1282" s="8">
        <v>13</v>
      </c>
      <c r="BL1282" s="8">
        <v>8.9</v>
      </c>
      <c r="BM1282" s="8">
        <v>5.3</v>
      </c>
      <c r="BN1282" s="8">
        <v>2.9</v>
      </c>
      <c r="BO1282" s="8">
        <v>1.7</v>
      </c>
      <c r="BP1282" s="7">
        <v>6.4</v>
      </c>
    </row>
    <row r="1283" spans="1:68" ht="14.25" customHeight="1">
      <c r="A1283" s="12">
        <v>626</v>
      </c>
      <c r="B1283" s="14">
        <v>445</v>
      </c>
      <c r="C1283" s="13" t="s">
        <v>30</v>
      </c>
      <c r="D1283" s="13" t="s">
        <v>57</v>
      </c>
      <c r="E1283" s="13" t="s">
        <v>144</v>
      </c>
      <c r="F1283" s="11">
        <v>-36.700000000000003</v>
      </c>
      <c r="G1283" s="11">
        <v>-31.9</v>
      </c>
      <c r="H1283" s="11">
        <v>-20</v>
      </c>
      <c r="I1283" s="11">
        <v>-7</v>
      </c>
      <c r="J1283" s="11">
        <v>4</v>
      </c>
      <c r="K1283" s="11">
        <v>12.3</v>
      </c>
      <c r="L1283" s="11">
        <v>15.8</v>
      </c>
      <c r="M1283" s="11">
        <v>12.6</v>
      </c>
      <c r="N1283" s="11">
        <v>4.5</v>
      </c>
      <c r="O1283" s="11">
        <v>-7.6</v>
      </c>
      <c r="P1283" s="11">
        <v>-24.7</v>
      </c>
      <c r="Q1283" s="11">
        <v>-34.9</v>
      </c>
      <c r="R1283" s="10">
        <v>-9.5</v>
      </c>
      <c r="S1283" s="12">
        <v>445</v>
      </c>
      <c r="T1283" s="8" t="s">
        <v>144</v>
      </c>
      <c r="U1283" s="11">
        <v>-55</v>
      </c>
      <c r="V1283" s="11">
        <v>-52</v>
      </c>
      <c r="W1283" s="11">
        <v>-51</v>
      </c>
      <c r="X1283" s="11">
        <v>-49</v>
      </c>
      <c r="Y1283" s="11">
        <v>-42</v>
      </c>
      <c r="Z1283" s="11">
        <v>-61</v>
      </c>
      <c r="AA1283" s="11">
        <v>10.7</v>
      </c>
      <c r="AB1283" s="11">
        <v>220</v>
      </c>
      <c r="AC1283" s="11">
        <v>-22</v>
      </c>
      <c r="AD1283" s="11">
        <v>270</v>
      </c>
      <c r="AE1283" s="11">
        <v>-17.100000000000001</v>
      </c>
      <c r="AF1283" s="11">
        <v>285</v>
      </c>
      <c r="AG1283" s="11">
        <v>-15.7</v>
      </c>
      <c r="AH1283" s="11">
        <v>78</v>
      </c>
      <c r="AI1283" s="11">
        <v>77</v>
      </c>
      <c r="AJ1283" s="11">
        <v>74</v>
      </c>
      <c r="AK1283" s="11" t="s">
        <v>75</v>
      </c>
      <c r="AL1283" s="11">
        <v>2.2999999999999998</v>
      </c>
      <c r="AM1283" s="10">
        <v>2.4</v>
      </c>
      <c r="AN1283" s="9">
        <v>445</v>
      </c>
      <c r="AO1283" s="8" t="s">
        <v>145</v>
      </c>
      <c r="AP1283" s="8">
        <v>910</v>
      </c>
      <c r="AQ1283" s="8">
        <v>19</v>
      </c>
      <c r="AR1283" s="8">
        <v>23.4</v>
      </c>
      <c r="AS1283" s="8">
        <v>23.7</v>
      </c>
      <c r="AT1283" s="8">
        <v>35</v>
      </c>
      <c r="AU1283" s="8">
        <v>15.7</v>
      </c>
      <c r="AV1283" s="8">
        <v>70</v>
      </c>
      <c r="AW1283" s="8">
        <v>64</v>
      </c>
      <c r="AX1283" s="8">
        <v>471</v>
      </c>
      <c r="AY1283" s="8">
        <v>83</v>
      </c>
      <c r="AZ1283" s="8" t="s">
        <v>54</v>
      </c>
      <c r="BA1283" s="7">
        <v>0</v>
      </c>
      <c r="BB1283" s="9">
        <v>407</v>
      </c>
      <c r="BC1283" s="8" t="s">
        <v>144</v>
      </c>
      <c r="BD1283" s="8">
        <v>0.3</v>
      </c>
      <c r="BE1283" s="8">
        <v>0.5</v>
      </c>
      <c r="BF1283" s="8">
        <v>1.1000000000000001</v>
      </c>
      <c r="BG1283" s="8">
        <v>2.6</v>
      </c>
      <c r="BH1283" s="8">
        <v>4.9000000000000004</v>
      </c>
      <c r="BI1283" s="8">
        <v>9.1</v>
      </c>
      <c r="BJ1283" s="8">
        <v>12.5</v>
      </c>
      <c r="BK1283" s="8">
        <v>10.9</v>
      </c>
      <c r="BL1283" s="8">
        <v>6.5</v>
      </c>
      <c r="BM1283" s="8">
        <v>2.9</v>
      </c>
      <c r="BN1283" s="8">
        <v>0.9</v>
      </c>
      <c r="BO1283" s="8">
        <v>0.4</v>
      </c>
      <c r="BP1283" s="7">
        <v>4.4000000000000004</v>
      </c>
    </row>
    <row r="1284" spans="1:68" ht="14.25" customHeight="1">
      <c r="A1284" s="12">
        <v>627</v>
      </c>
      <c r="B1284" s="14">
        <v>368</v>
      </c>
      <c r="C1284" s="13" t="s">
        <v>30</v>
      </c>
      <c r="D1284" s="13" t="s">
        <v>86</v>
      </c>
      <c r="E1284" s="13" t="s">
        <v>141</v>
      </c>
      <c r="F1284" s="11">
        <v>-23.7</v>
      </c>
      <c r="G1284" s="11">
        <v>-18.899999999999999</v>
      </c>
      <c r="H1284" s="11">
        <v>-11.6</v>
      </c>
      <c r="I1284" s="11">
        <v>-2.7</v>
      </c>
      <c r="J1284" s="11">
        <v>1.9</v>
      </c>
      <c r="K1284" s="11">
        <v>6.6</v>
      </c>
      <c r="L1284" s="11">
        <v>12</v>
      </c>
      <c r="M1284" s="11">
        <v>13.5</v>
      </c>
      <c r="N1284" s="11">
        <v>10</v>
      </c>
      <c r="O1284" s="11">
        <v>0.7</v>
      </c>
      <c r="P1284" s="11">
        <v>-12.9</v>
      </c>
      <c r="Q1284" s="11">
        <v>-21.3</v>
      </c>
      <c r="R1284" s="10">
        <v>-3.9</v>
      </c>
      <c r="S1284" s="12">
        <v>368</v>
      </c>
      <c r="T1284" s="8" t="s">
        <v>143</v>
      </c>
      <c r="U1284" s="11">
        <v>-35</v>
      </c>
      <c r="V1284" s="11">
        <v>-34</v>
      </c>
      <c r="W1284" s="11">
        <v>-34</v>
      </c>
      <c r="X1284" s="11">
        <v>-32</v>
      </c>
      <c r="Y1284" s="11">
        <v>-29</v>
      </c>
      <c r="Z1284" s="11">
        <v>-43</v>
      </c>
      <c r="AA1284" s="11">
        <v>5.3</v>
      </c>
      <c r="AB1284" s="11">
        <v>198</v>
      </c>
      <c r="AC1284" s="11">
        <v>-13.8</v>
      </c>
      <c r="AD1284" s="11">
        <v>274</v>
      </c>
      <c r="AE1284" s="11">
        <v>-8.8000000000000007</v>
      </c>
      <c r="AF1284" s="11">
        <v>292</v>
      </c>
      <c r="AG1284" s="11">
        <v>-7.7</v>
      </c>
      <c r="AH1284" s="11">
        <v>73</v>
      </c>
      <c r="AI1284" s="11">
        <v>71</v>
      </c>
      <c r="AJ1284" s="11" t="s">
        <v>84</v>
      </c>
      <c r="AK1284" s="11" t="s">
        <v>48</v>
      </c>
      <c r="AL1284" s="11">
        <v>10.3</v>
      </c>
      <c r="AM1284" s="10">
        <v>6.3</v>
      </c>
      <c r="AN1284" s="9">
        <v>368</v>
      </c>
      <c r="AO1284" s="8" t="s">
        <v>142</v>
      </c>
      <c r="AP1284" s="8">
        <v>1010</v>
      </c>
      <c r="AQ1284" s="8">
        <v>15.9</v>
      </c>
      <c r="AR1284" s="8">
        <v>20.399999999999999</v>
      </c>
      <c r="AS1284" s="8">
        <v>18.3</v>
      </c>
      <c r="AT1284" s="8">
        <v>35</v>
      </c>
      <c r="AU1284" s="8">
        <v>8.8000000000000007</v>
      </c>
      <c r="AV1284" s="8">
        <v>88</v>
      </c>
      <c r="AW1284" s="8">
        <v>77</v>
      </c>
      <c r="AX1284" s="8">
        <v>635</v>
      </c>
      <c r="AY1284" s="8">
        <v>128</v>
      </c>
      <c r="AZ1284" s="8" t="s">
        <v>37</v>
      </c>
      <c r="BA1284" s="7">
        <v>0</v>
      </c>
      <c r="BB1284" s="9">
        <v>333</v>
      </c>
      <c r="BC1284" s="8" t="s">
        <v>141</v>
      </c>
      <c r="BD1284" s="8">
        <v>0.8</v>
      </c>
      <c r="BE1284" s="8">
        <v>1.1000000000000001</v>
      </c>
      <c r="BF1284" s="8">
        <v>2</v>
      </c>
      <c r="BG1284" s="8">
        <v>3.7</v>
      </c>
      <c r="BH1284" s="8">
        <v>5.9</v>
      </c>
      <c r="BI1284" s="8">
        <v>8.6</v>
      </c>
      <c r="BJ1284" s="8">
        <v>12.5</v>
      </c>
      <c r="BK1284" s="8">
        <v>13.6</v>
      </c>
      <c r="BL1284" s="8">
        <v>9.9</v>
      </c>
      <c r="BM1284" s="8">
        <v>4.5999999999999996</v>
      </c>
      <c r="BN1284" s="8">
        <v>1.8</v>
      </c>
      <c r="BO1284" s="8">
        <v>0.9</v>
      </c>
      <c r="BP1284" s="7">
        <v>5.5</v>
      </c>
    </row>
    <row r="1285" spans="1:68" ht="14.25" customHeight="1">
      <c r="A1285" s="12">
        <v>628</v>
      </c>
      <c r="B1285" s="14">
        <v>446</v>
      </c>
      <c r="C1285" s="13" t="s">
        <v>30</v>
      </c>
      <c r="D1285" s="13" t="s">
        <v>57</v>
      </c>
      <c r="E1285" s="13" t="s">
        <v>139</v>
      </c>
      <c r="F1285" s="11">
        <v>-44</v>
      </c>
      <c r="G1285" s="11">
        <v>-38.4</v>
      </c>
      <c r="H1285" s="11">
        <v>-24</v>
      </c>
      <c r="I1285" s="11">
        <v>-7.8</v>
      </c>
      <c r="J1285" s="11">
        <v>5.8</v>
      </c>
      <c r="K1285" s="11">
        <v>14.7</v>
      </c>
      <c r="L1285" s="11">
        <v>18.100000000000001</v>
      </c>
      <c r="M1285" s="11">
        <v>14.3</v>
      </c>
      <c r="N1285" s="11">
        <v>5.2</v>
      </c>
      <c r="O1285" s="11">
        <v>-9.4</v>
      </c>
      <c r="P1285" s="11">
        <v>-30.8</v>
      </c>
      <c r="Q1285" s="11">
        <v>-41.8</v>
      </c>
      <c r="R1285" s="10">
        <v>-11.5</v>
      </c>
      <c r="S1285" s="12">
        <v>446</v>
      </c>
      <c r="T1285" s="8" t="s">
        <v>139</v>
      </c>
      <c r="U1285" s="11">
        <v>-61</v>
      </c>
      <c r="V1285" s="11">
        <v>-59</v>
      </c>
      <c r="W1285" s="11">
        <v>-59</v>
      </c>
      <c r="X1285" s="11">
        <v>-56</v>
      </c>
      <c r="Y1285" s="11">
        <v>-49</v>
      </c>
      <c r="Z1285" s="11">
        <v>-64</v>
      </c>
      <c r="AA1285" s="11">
        <v>9.1</v>
      </c>
      <c r="AB1285" s="11">
        <v>219</v>
      </c>
      <c r="AC1285" s="11">
        <v>-26.6</v>
      </c>
      <c r="AD1285" s="11">
        <v>239</v>
      </c>
      <c r="AE1285" s="11">
        <v>-21.8</v>
      </c>
      <c r="AF1285" s="11">
        <v>273</v>
      </c>
      <c r="AG1285" s="11">
        <v>-20.2</v>
      </c>
      <c r="AH1285" s="11">
        <v>73</v>
      </c>
      <c r="AI1285" s="11">
        <v>73</v>
      </c>
      <c r="AJ1285" s="11">
        <v>46</v>
      </c>
      <c r="AK1285" s="11" t="s">
        <v>66</v>
      </c>
      <c r="AL1285" s="11" t="s">
        <v>44</v>
      </c>
      <c r="AM1285" s="10">
        <v>1.4</v>
      </c>
      <c r="AN1285" s="9">
        <v>446</v>
      </c>
      <c r="AO1285" s="8" t="s">
        <v>140</v>
      </c>
      <c r="AP1285" s="8">
        <v>985</v>
      </c>
      <c r="AQ1285" s="8">
        <v>22.5</v>
      </c>
      <c r="AR1285" s="8">
        <v>26.6</v>
      </c>
      <c r="AS1285" s="8">
        <v>24.9</v>
      </c>
      <c r="AT1285" s="8">
        <v>37</v>
      </c>
      <c r="AU1285" s="8">
        <v>14.5</v>
      </c>
      <c r="AV1285" s="8">
        <v>65</v>
      </c>
      <c r="AW1285" s="8">
        <v>46</v>
      </c>
      <c r="AX1285" s="8">
        <v>208</v>
      </c>
      <c r="AY1285" s="8">
        <v>48</v>
      </c>
      <c r="AZ1285" s="8" t="s">
        <v>43</v>
      </c>
      <c r="BA1285" s="7" t="s">
        <v>46</v>
      </c>
      <c r="BB1285" s="9">
        <v>408</v>
      </c>
      <c r="BC1285" s="8" t="s">
        <v>139</v>
      </c>
      <c r="BD1285" s="8">
        <v>0.1</v>
      </c>
      <c r="BE1285" s="8">
        <v>0.2</v>
      </c>
      <c r="BF1285" s="8">
        <v>0.8</v>
      </c>
      <c r="BG1285" s="8">
        <v>2.4</v>
      </c>
      <c r="BH1285" s="8">
        <v>4.9000000000000004</v>
      </c>
      <c r="BI1285" s="8">
        <v>9.6999999999999993</v>
      </c>
      <c r="BJ1285" s="8">
        <v>12.8</v>
      </c>
      <c r="BK1285" s="8">
        <v>11.3</v>
      </c>
      <c r="BL1285" s="8">
        <v>6.6</v>
      </c>
      <c r="BM1285" s="8">
        <v>2.8</v>
      </c>
      <c r="BN1285" s="8">
        <v>0.6</v>
      </c>
      <c r="BO1285" s="8">
        <v>0.2</v>
      </c>
      <c r="BP1285" s="7">
        <v>4.4000000000000004</v>
      </c>
    </row>
    <row r="1286" spans="1:68" ht="14.25" customHeight="1">
      <c r="A1286" s="12">
        <v>629</v>
      </c>
      <c r="B1286" s="14">
        <v>162</v>
      </c>
      <c r="C1286" s="13" t="s">
        <v>30</v>
      </c>
      <c r="D1286" s="13" t="s">
        <v>127</v>
      </c>
      <c r="E1286" s="13" t="s">
        <v>136</v>
      </c>
      <c r="F1286" s="11">
        <v>-12.8</v>
      </c>
      <c r="G1286" s="11">
        <v>-11.6</v>
      </c>
      <c r="H1286" s="11">
        <v>-5.7</v>
      </c>
      <c r="I1286" s="11">
        <v>2.5</v>
      </c>
      <c r="J1286" s="11">
        <v>9.6999999999999993</v>
      </c>
      <c r="K1286" s="11">
        <v>14.8</v>
      </c>
      <c r="L1286" s="11">
        <v>17</v>
      </c>
      <c r="M1286" s="11">
        <v>15.1</v>
      </c>
      <c r="N1286" s="11">
        <v>9.1999999999999993</v>
      </c>
      <c r="O1286" s="11">
        <v>2.4</v>
      </c>
      <c r="P1286" s="11">
        <v>-3.6</v>
      </c>
      <c r="Q1286" s="11">
        <v>-9.8000000000000007</v>
      </c>
      <c r="R1286" s="10">
        <v>2.2999999999999998</v>
      </c>
      <c r="S1286" s="12">
        <v>162</v>
      </c>
      <c r="T1286" s="8" t="s">
        <v>138</v>
      </c>
      <c r="U1286" s="11">
        <v>-41</v>
      </c>
      <c r="V1286" s="11">
        <v>-37</v>
      </c>
      <c r="W1286" s="11">
        <v>-36</v>
      </c>
      <c r="X1286" s="11">
        <v>-32</v>
      </c>
      <c r="Y1286" s="11">
        <v>-18</v>
      </c>
      <c r="Z1286" s="11">
        <v>-46</v>
      </c>
      <c r="AA1286" s="11">
        <v>6.9</v>
      </c>
      <c r="AB1286" s="11">
        <v>160</v>
      </c>
      <c r="AC1286" s="11">
        <v>-7.9</v>
      </c>
      <c r="AD1286" s="11">
        <v>230</v>
      </c>
      <c r="AE1286" s="11">
        <v>-4.3</v>
      </c>
      <c r="AF1286" s="11">
        <v>248</v>
      </c>
      <c r="AG1286" s="11">
        <v>-3.3</v>
      </c>
      <c r="AH1286" s="11">
        <v>85</v>
      </c>
      <c r="AI1286" s="11">
        <v>84</v>
      </c>
      <c r="AJ1286" s="11">
        <v>175</v>
      </c>
      <c r="AK1286" s="11" t="s">
        <v>34</v>
      </c>
      <c r="AL1286" s="11" t="s">
        <v>44</v>
      </c>
      <c r="AM1286" s="10">
        <v>3.9</v>
      </c>
      <c r="AN1286" s="9">
        <v>162</v>
      </c>
      <c r="AO1286" s="8" t="s">
        <v>137</v>
      </c>
      <c r="AP1286" s="8">
        <v>990</v>
      </c>
      <c r="AQ1286" s="8">
        <v>20.100000000000001</v>
      </c>
      <c r="AR1286" s="8">
        <v>24.4</v>
      </c>
      <c r="AS1286" s="8">
        <v>22.5</v>
      </c>
      <c r="AT1286" s="8">
        <v>36</v>
      </c>
      <c r="AU1286" s="8">
        <v>10.6</v>
      </c>
      <c r="AV1286" s="8">
        <v>75</v>
      </c>
      <c r="AW1286" s="8">
        <v>60</v>
      </c>
      <c r="AX1286" s="8">
        <v>456</v>
      </c>
      <c r="AY1286" s="8">
        <v>86</v>
      </c>
      <c r="AZ1286" s="8" t="s">
        <v>54</v>
      </c>
      <c r="BA1286" s="7" t="s">
        <v>46</v>
      </c>
      <c r="BB1286" s="9">
        <v>142</v>
      </c>
      <c r="BC1286" s="8" t="s">
        <v>136</v>
      </c>
      <c r="BD1286" s="8">
        <v>2.4</v>
      </c>
      <c r="BE1286" s="8">
        <v>2.4</v>
      </c>
      <c r="BF1286" s="8">
        <v>3.4</v>
      </c>
      <c r="BG1286" s="8">
        <v>5.3</v>
      </c>
      <c r="BH1286" s="8">
        <v>8.1</v>
      </c>
      <c r="BI1286" s="8">
        <v>12</v>
      </c>
      <c r="BJ1286" s="8">
        <v>14.6</v>
      </c>
      <c r="BK1286" s="8">
        <v>13.5</v>
      </c>
      <c r="BL1286" s="8">
        <v>9.8000000000000007</v>
      </c>
      <c r="BM1286" s="8">
        <v>6.4</v>
      </c>
      <c r="BN1286" s="8">
        <v>4.3</v>
      </c>
      <c r="BO1286" s="8">
        <v>3</v>
      </c>
      <c r="BP1286" s="7">
        <v>7.1</v>
      </c>
    </row>
    <row r="1287" spans="1:68" ht="14.25" customHeight="1">
      <c r="A1287" s="12">
        <v>630</v>
      </c>
      <c r="B1287" s="14">
        <v>581</v>
      </c>
      <c r="C1287" s="13" t="s">
        <v>135</v>
      </c>
      <c r="D1287" s="13" t="s">
        <v>134</v>
      </c>
      <c r="E1287" s="13" t="s">
        <v>132</v>
      </c>
      <c r="F1287" s="11">
        <v>2.9</v>
      </c>
      <c r="G1287" s="11">
        <v>6</v>
      </c>
      <c r="H1287" s="11">
        <v>11.2</v>
      </c>
      <c r="I1287" s="11">
        <v>18.3</v>
      </c>
      <c r="J1287" s="11">
        <v>24.1</v>
      </c>
      <c r="K1287" s="11">
        <v>28.6</v>
      </c>
      <c r="L1287" s="11">
        <v>30.7</v>
      </c>
      <c r="M1287" s="11">
        <v>28.6</v>
      </c>
      <c r="N1287" s="11">
        <v>22.9</v>
      </c>
      <c r="O1287" s="11">
        <v>16.5</v>
      </c>
      <c r="P1287" s="11">
        <v>9.6999999999999993</v>
      </c>
      <c r="Q1287" s="11">
        <v>4.8</v>
      </c>
      <c r="R1287" s="10">
        <v>17</v>
      </c>
      <c r="S1287" s="15"/>
      <c r="T1287" s="8" t="s">
        <v>133</v>
      </c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7"/>
      <c r="AN1287" s="9"/>
      <c r="AO1287" s="8" t="s">
        <v>133</v>
      </c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7"/>
      <c r="BB1287" s="9"/>
      <c r="BC1287" s="8" t="s">
        <v>132</v>
      </c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7"/>
    </row>
    <row r="1288" spans="1:68" ht="14.25" customHeight="1">
      <c r="A1288" s="12">
        <v>631</v>
      </c>
      <c r="B1288" s="14">
        <v>283</v>
      </c>
      <c r="C1288" s="13" t="s">
        <v>30</v>
      </c>
      <c r="D1288" s="13" t="s">
        <v>131</v>
      </c>
      <c r="E1288" s="13" t="s">
        <v>128</v>
      </c>
      <c r="F1288" s="11">
        <v>-16.100000000000001</v>
      </c>
      <c r="G1288" s="11">
        <v>-14.4</v>
      </c>
      <c r="H1288" s="11">
        <v>-7.4</v>
      </c>
      <c r="I1288" s="11">
        <v>2.5</v>
      </c>
      <c r="J1288" s="11">
        <v>9.6</v>
      </c>
      <c r="K1288" s="11">
        <v>14.9</v>
      </c>
      <c r="L1288" s="11">
        <v>17</v>
      </c>
      <c r="M1288" s="11">
        <v>14.5</v>
      </c>
      <c r="N1288" s="11">
        <v>8.6999999999999993</v>
      </c>
      <c r="O1288" s="11">
        <v>0.9</v>
      </c>
      <c r="P1288" s="11">
        <v>-7</v>
      </c>
      <c r="Q1288" s="11">
        <v>-13.6</v>
      </c>
      <c r="R1288" s="10">
        <v>0.8</v>
      </c>
      <c r="S1288" s="12">
        <v>283</v>
      </c>
      <c r="T1288" s="8" t="s">
        <v>130</v>
      </c>
      <c r="U1288" s="11">
        <v>-42</v>
      </c>
      <c r="V1288" s="11">
        <v>-40</v>
      </c>
      <c r="W1288" s="11">
        <v>-38</v>
      </c>
      <c r="X1288" s="11">
        <v>-35</v>
      </c>
      <c r="Y1288" s="11">
        <v>-20</v>
      </c>
      <c r="Z1288" s="11">
        <v>-51</v>
      </c>
      <c r="AA1288" s="11">
        <v>8</v>
      </c>
      <c r="AB1288" s="11">
        <v>171</v>
      </c>
      <c r="AC1288" s="11">
        <v>-10.4</v>
      </c>
      <c r="AD1288" s="11">
        <v>235</v>
      </c>
      <c r="AE1288" s="11">
        <v>-6.4</v>
      </c>
      <c r="AF1288" s="11">
        <v>254</v>
      </c>
      <c r="AG1288" s="11">
        <v>-5.2</v>
      </c>
      <c r="AH1288" s="11">
        <v>82</v>
      </c>
      <c r="AI1288" s="11">
        <v>78</v>
      </c>
      <c r="AJ1288" s="11">
        <v>205</v>
      </c>
      <c r="AK1288" s="11" t="s">
        <v>39</v>
      </c>
      <c r="AL1288" s="11" t="s">
        <v>44</v>
      </c>
      <c r="AM1288" s="10">
        <v>3.2</v>
      </c>
      <c r="AN1288" s="9">
        <v>301</v>
      </c>
      <c r="AO1288" s="8" t="s">
        <v>129</v>
      </c>
      <c r="AP1288" s="8">
        <v>1000</v>
      </c>
      <c r="AQ1288" s="8">
        <v>22</v>
      </c>
      <c r="AR1288" s="8">
        <v>26</v>
      </c>
      <c r="AS1288" s="8">
        <v>23.3</v>
      </c>
      <c r="AT1288" s="8">
        <v>37</v>
      </c>
      <c r="AU1288" s="8">
        <v>12.5</v>
      </c>
      <c r="AV1288" s="8">
        <v>74</v>
      </c>
      <c r="AW1288" s="8">
        <v>59</v>
      </c>
      <c r="AX1288" s="8">
        <v>450</v>
      </c>
      <c r="AY1288" s="8">
        <v>66</v>
      </c>
      <c r="AZ1288" s="8" t="s">
        <v>82</v>
      </c>
      <c r="BA1288" s="7" t="s">
        <v>46</v>
      </c>
      <c r="BB1288" s="9">
        <v>272</v>
      </c>
      <c r="BC1288" s="8" t="s">
        <v>128</v>
      </c>
      <c r="BD1288" s="8">
        <v>1.8</v>
      </c>
      <c r="BE1288" s="8">
        <v>1.9</v>
      </c>
      <c r="BF1288" s="8">
        <v>3.1</v>
      </c>
      <c r="BG1288" s="8">
        <v>5.2</v>
      </c>
      <c r="BH1288" s="8">
        <v>7.5</v>
      </c>
      <c r="BI1288" s="8">
        <v>11.4</v>
      </c>
      <c r="BJ1288" s="8">
        <v>14</v>
      </c>
      <c r="BK1288" s="8">
        <v>12.6</v>
      </c>
      <c r="BL1288" s="8">
        <v>9</v>
      </c>
      <c r="BM1288" s="8">
        <v>3.6</v>
      </c>
      <c r="BN1288" s="8">
        <v>3.6</v>
      </c>
      <c r="BO1288" s="8">
        <v>2.2999999999999998</v>
      </c>
      <c r="BP1288" s="7">
        <v>6.5</v>
      </c>
    </row>
    <row r="1289" spans="1:68" ht="14.25" customHeight="1">
      <c r="A1289" s="12">
        <v>632</v>
      </c>
      <c r="B1289" s="14">
        <v>163</v>
      </c>
      <c r="C1289" s="13" t="s">
        <v>30</v>
      </c>
      <c r="D1289" s="13" t="s">
        <v>127</v>
      </c>
      <c r="E1289" s="13" t="s">
        <v>124</v>
      </c>
      <c r="F1289" s="11">
        <v>-13</v>
      </c>
      <c r="G1289" s="11">
        <v>-12.1</v>
      </c>
      <c r="H1289" s="11">
        <v>-6</v>
      </c>
      <c r="I1289" s="11">
        <v>2.9</v>
      </c>
      <c r="J1289" s="11">
        <v>10.199999999999999</v>
      </c>
      <c r="K1289" s="11">
        <v>15.1</v>
      </c>
      <c r="L1289" s="11">
        <v>17.399999999999999</v>
      </c>
      <c r="M1289" s="11">
        <v>15.1</v>
      </c>
      <c r="N1289" s="11">
        <v>9.3000000000000007</v>
      </c>
      <c r="O1289" s="11">
        <v>2.2999999999999998</v>
      </c>
      <c r="P1289" s="11">
        <v>-4.7</v>
      </c>
      <c r="Q1289" s="11">
        <v>-10.6</v>
      </c>
      <c r="R1289" s="10">
        <v>2.2000000000000002</v>
      </c>
      <c r="S1289" s="12">
        <v>163</v>
      </c>
      <c r="T1289" s="8" t="s">
        <v>126</v>
      </c>
      <c r="U1289" s="11">
        <v>-40</v>
      </c>
      <c r="V1289" s="11">
        <v>-37</v>
      </c>
      <c r="W1289" s="11">
        <v>-36</v>
      </c>
      <c r="X1289" s="11">
        <v>-32</v>
      </c>
      <c r="Y1289" s="11">
        <v>-18</v>
      </c>
      <c r="Z1289" s="11">
        <v>-44</v>
      </c>
      <c r="AA1289" s="11">
        <v>6.9</v>
      </c>
      <c r="AB1289" s="11">
        <v>162</v>
      </c>
      <c r="AC1289" s="11">
        <v>-8.3000000000000007</v>
      </c>
      <c r="AD1289" s="11">
        <v>228</v>
      </c>
      <c r="AE1289" s="11">
        <v>-4.7</v>
      </c>
      <c r="AF1289" s="11">
        <v>245</v>
      </c>
      <c r="AG1289" s="11">
        <v>-3.7</v>
      </c>
      <c r="AH1289" s="11">
        <v>86</v>
      </c>
      <c r="AI1289" s="11">
        <v>85</v>
      </c>
      <c r="AJ1289" s="11">
        <v>273</v>
      </c>
      <c r="AK1289" s="11" t="s">
        <v>34</v>
      </c>
      <c r="AL1289" s="11">
        <v>4.5</v>
      </c>
      <c r="AM1289" s="10">
        <v>4.2</v>
      </c>
      <c r="AN1289" s="9">
        <v>163</v>
      </c>
      <c r="AO1289" s="8" t="s">
        <v>125</v>
      </c>
      <c r="AP1289" s="8">
        <v>995</v>
      </c>
      <c r="AQ1289" s="8">
        <v>20.7</v>
      </c>
      <c r="AR1289" s="8">
        <v>24.9</v>
      </c>
      <c r="AS1289" s="8">
        <v>23.1</v>
      </c>
      <c r="AT1289" s="8">
        <v>36</v>
      </c>
      <c r="AU1289" s="8">
        <v>11.6</v>
      </c>
      <c r="AV1289" s="8">
        <v>74</v>
      </c>
      <c r="AW1289" s="8">
        <v>59</v>
      </c>
      <c r="AX1289" s="8">
        <v>471</v>
      </c>
      <c r="AY1289" s="8" t="s">
        <v>64</v>
      </c>
      <c r="AZ1289" s="8" t="s">
        <v>32</v>
      </c>
      <c r="BA1289" s="7">
        <v>3.6</v>
      </c>
      <c r="BB1289" s="9"/>
      <c r="BC1289" s="8" t="s">
        <v>124</v>
      </c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7"/>
    </row>
    <row r="1290" spans="1:68" ht="14.25" customHeight="1">
      <c r="A1290" s="12">
        <v>633</v>
      </c>
      <c r="B1290" s="14">
        <v>447</v>
      </c>
      <c r="C1290" s="13" t="s">
        <v>30</v>
      </c>
      <c r="D1290" s="13" t="s">
        <v>57</v>
      </c>
      <c r="E1290" s="13" t="s">
        <v>122</v>
      </c>
      <c r="F1290" s="11">
        <v>-41.9</v>
      </c>
      <c r="G1290" s="11">
        <v>-37.6</v>
      </c>
      <c r="H1290" s="11">
        <v>-25.6</v>
      </c>
      <c r="I1290" s="11">
        <v>-12.5</v>
      </c>
      <c r="J1290" s="11">
        <v>0.5</v>
      </c>
      <c r="K1290" s="11">
        <v>11.4</v>
      </c>
      <c r="L1290" s="11">
        <v>14.5</v>
      </c>
      <c r="M1290" s="11">
        <v>10.199999999999999</v>
      </c>
      <c r="N1290" s="11">
        <v>2.4</v>
      </c>
      <c r="O1290" s="11">
        <v>-10.8</v>
      </c>
      <c r="P1290" s="11">
        <v>-31</v>
      </c>
      <c r="Q1290" s="11">
        <v>-38.9</v>
      </c>
      <c r="R1290" s="10">
        <v>-13.3</v>
      </c>
      <c r="S1290" s="12">
        <v>447</v>
      </c>
      <c r="T1290" s="8" t="s">
        <v>122</v>
      </c>
      <c r="U1290" s="11">
        <v>-61</v>
      </c>
      <c r="V1290" s="11">
        <v>-59</v>
      </c>
      <c r="W1290" s="11">
        <v>-58</v>
      </c>
      <c r="X1290" s="11">
        <v>-57</v>
      </c>
      <c r="Y1290" s="11">
        <v>-47</v>
      </c>
      <c r="Z1290" s="11">
        <v>-64</v>
      </c>
      <c r="AA1290" s="11">
        <v>10.4</v>
      </c>
      <c r="AB1290" s="11">
        <v>236</v>
      </c>
      <c r="AC1290" s="11">
        <v>-25.3</v>
      </c>
      <c r="AD1290" s="11">
        <v>285</v>
      </c>
      <c r="AE1290" s="11">
        <v>-20.100000000000001</v>
      </c>
      <c r="AF1290" s="11">
        <v>299</v>
      </c>
      <c r="AG1290" s="11">
        <v>-18.8</v>
      </c>
      <c r="AH1290" s="11">
        <v>73</v>
      </c>
      <c r="AI1290" s="11">
        <v>73</v>
      </c>
      <c r="AJ1290" s="11">
        <v>57</v>
      </c>
      <c r="AK1290" s="11" t="s">
        <v>66</v>
      </c>
      <c r="AL1290" s="11">
        <v>2.2999999999999998</v>
      </c>
      <c r="AM1290" s="10">
        <v>1.3</v>
      </c>
      <c r="AN1290" s="9">
        <v>447</v>
      </c>
      <c r="AO1290" s="8" t="s">
        <v>123</v>
      </c>
      <c r="AP1290" s="8">
        <v>980</v>
      </c>
      <c r="AQ1290" s="8">
        <v>19.5</v>
      </c>
      <c r="AR1290" s="8">
        <v>23.8</v>
      </c>
      <c r="AS1290" s="8">
        <v>21.9</v>
      </c>
      <c r="AT1290" s="8">
        <v>35</v>
      </c>
      <c r="AU1290" s="8">
        <v>15.9</v>
      </c>
      <c r="AV1290" s="8">
        <v>66</v>
      </c>
      <c r="AW1290" s="8">
        <v>52</v>
      </c>
      <c r="AX1290" s="8">
        <v>244</v>
      </c>
      <c r="AY1290" s="8">
        <v>70</v>
      </c>
      <c r="AZ1290" s="8" t="s">
        <v>32</v>
      </c>
      <c r="BA1290" s="7">
        <v>0</v>
      </c>
      <c r="BB1290" s="9">
        <v>409</v>
      </c>
      <c r="BC1290" s="8" t="s">
        <v>122</v>
      </c>
      <c r="BD1290" s="8">
        <v>0.2</v>
      </c>
      <c r="BE1290" s="8">
        <v>0.3</v>
      </c>
      <c r="BF1290" s="8">
        <v>0.8</v>
      </c>
      <c r="BG1290" s="8">
        <v>1.8</v>
      </c>
      <c r="BH1290" s="8">
        <v>4.0999999999999996</v>
      </c>
      <c r="BI1290" s="8">
        <v>7.9</v>
      </c>
      <c r="BJ1290" s="8">
        <v>10.7</v>
      </c>
      <c r="BK1290" s="8">
        <v>9</v>
      </c>
      <c r="BL1290" s="8">
        <v>5.7</v>
      </c>
      <c r="BM1290" s="8">
        <v>2.7</v>
      </c>
      <c r="BN1290" s="8">
        <v>0.6</v>
      </c>
      <c r="BO1290" s="8">
        <v>0.3</v>
      </c>
      <c r="BP1290" s="7">
        <v>3.7</v>
      </c>
    </row>
    <row r="1291" spans="1:68" ht="14.25" customHeight="1">
      <c r="A1291" s="12">
        <v>634</v>
      </c>
      <c r="B1291" s="14">
        <v>511</v>
      </c>
      <c r="C1291" s="13" t="s">
        <v>121</v>
      </c>
      <c r="D1291" s="13" t="s">
        <v>120</v>
      </c>
      <c r="E1291" s="13" t="s">
        <v>118</v>
      </c>
      <c r="F1291" s="11">
        <v>-17</v>
      </c>
      <c r="G1291" s="11">
        <v>-16.5</v>
      </c>
      <c r="H1291" s="11">
        <v>-8.9</v>
      </c>
      <c r="I1291" s="11">
        <v>3.8</v>
      </c>
      <c r="J1291" s="11">
        <v>12.7</v>
      </c>
      <c r="K1291" s="11">
        <v>18.100000000000001</v>
      </c>
      <c r="L1291" s="11">
        <v>20.100000000000001</v>
      </c>
      <c r="M1291" s="11">
        <v>17.5</v>
      </c>
      <c r="N1291" s="11">
        <v>11.9</v>
      </c>
      <c r="O1291" s="11">
        <v>3.8</v>
      </c>
      <c r="P1291" s="11">
        <v>-7.1</v>
      </c>
      <c r="Q1291" s="11">
        <v>-14.3</v>
      </c>
      <c r="R1291" s="10">
        <v>2</v>
      </c>
      <c r="S1291" s="12">
        <v>511</v>
      </c>
      <c r="T1291" s="8" t="s">
        <v>118</v>
      </c>
      <c r="U1291" s="11">
        <v>-46</v>
      </c>
      <c r="V1291" s="11">
        <v>-44</v>
      </c>
      <c r="W1291" s="11">
        <v>-42</v>
      </c>
      <c r="X1291" s="11">
        <v>-38</v>
      </c>
      <c r="Y1291" s="11" t="s">
        <v>49</v>
      </c>
      <c r="Z1291" s="11" t="s">
        <v>44</v>
      </c>
      <c r="AA1291" s="11">
        <v>-11.4</v>
      </c>
      <c r="AB1291" s="11">
        <v>160</v>
      </c>
      <c r="AC1291" s="11">
        <v>-12</v>
      </c>
      <c r="AD1291" s="11">
        <v>209</v>
      </c>
      <c r="AE1291" s="11">
        <v>-8.1999999999999993</v>
      </c>
      <c r="AF1291" s="11">
        <v>223</v>
      </c>
      <c r="AG1291" s="11">
        <v>-7.1</v>
      </c>
      <c r="AH1291" s="11">
        <v>78</v>
      </c>
      <c r="AI1291" s="11" t="s">
        <v>49</v>
      </c>
      <c r="AJ1291" s="11">
        <v>152</v>
      </c>
      <c r="AK1291" s="11" t="s">
        <v>34</v>
      </c>
      <c r="AL1291" s="11">
        <v>6</v>
      </c>
      <c r="AM1291" s="10">
        <v>2.9</v>
      </c>
      <c r="AN1291" s="9">
        <v>511</v>
      </c>
      <c r="AO1291" s="8" t="s">
        <v>119</v>
      </c>
      <c r="AP1291" s="8" t="s">
        <v>64</v>
      </c>
      <c r="AQ1291" s="8" t="s">
        <v>45</v>
      </c>
      <c r="AR1291" s="8" t="s">
        <v>44</v>
      </c>
      <c r="AS1291" s="8">
        <v>27.3</v>
      </c>
      <c r="AT1291" s="8">
        <v>42</v>
      </c>
      <c r="AU1291" s="8">
        <v>14.1</v>
      </c>
      <c r="AV1291" s="8">
        <v>64</v>
      </c>
      <c r="AW1291" s="8" t="s">
        <v>44</v>
      </c>
      <c r="AX1291" s="8">
        <v>308</v>
      </c>
      <c r="AY1291" s="8" t="s">
        <v>64</v>
      </c>
      <c r="AZ1291" s="8" t="s">
        <v>32</v>
      </c>
      <c r="BA1291" s="7">
        <v>4.0999999999999996</v>
      </c>
      <c r="BB1291" s="9"/>
      <c r="BC1291" s="8" t="s">
        <v>118</v>
      </c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7"/>
    </row>
    <row r="1292" spans="1:68" ht="14.25" customHeight="1">
      <c r="A1292" s="12">
        <v>635</v>
      </c>
      <c r="B1292" s="14">
        <v>600</v>
      </c>
      <c r="C1292" s="13" t="s">
        <v>117</v>
      </c>
      <c r="D1292" s="13" t="s">
        <v>116</v>
      </c>
      <c r="E1292" s="13" t="s">
        <v>113</v>
      </c>
      <c r="F1292" s="11">
        <v>4</v>
      </c>
      <c r="G1292" s="11">
        <v>6.9</v>
      </c>
      <c r="H1292" s="11">
        <v>11.6</v>
      </c>
      <c r="I1292" s="11">
        <v>18.7</v>
      </c>
      <c r="J1292" s="11">
        <v>24.9</v>
      </c>
      <c r="K1292" s="11">
        <v>29.9</v>
      </c>
      <c r="L1292" s="11">
        <v>31.8</v>
      </c>
      <c r="M1292" s="11">
        <v>29.7</v>
      </c>
      <c r="N1292" s="11">
        <v>24.5</v>
      </c>
      <c r="O1292" s="11">
        <v>18</v>
      </c>
      <c r="P1292" s="11">
        <v>11.2</v>
      </c>
      <c r="Q1292" s="11">
        <v>6.3</v>
      </c>
      <c r="R1292" s="10">
        <v>18.100000000000001</v>
      </c>
      <c r="S1292" s="12">
        <v>589</v>
      </c>
      <c r="T1292" s="8" t="s">
        <v>113</v>
      </c>
      <c r="U1292" s="11">
        <v>-13</v>
      </c>
      <c r="V1292" s="11">
        <v>-10</v>
      </c>
      <c r="W1292" s="11">
        <v>-10</v>
      </c>
      <c r="X1292" s="11" t="s">
        <v>64</v>
      </c>
      <c r="Y1292" s="11">
        <v>1</v>
      </c>
      <c r="Z1292" s="11" t="s">
        <v>44</v>
      </c>
      <c r="AA1292" s="11">
        <v>8.4</v>
      </c>
      <c r="AB1292" s="11">
        <v>0</v>
      </c>
      <c r="AC1292" s="11" t="s">
        <v>50</v>
      </c>
      <c r="AD1292" s="11">
        <v>80</v>
      </c>
      <c r="AE1292" s="11">
        <v>5.4</v>
      </c>
      <c r="AF1292" s="11" t="s">
        <v>114</v>
      </c>
      <c r="AG1292" s="11" t="s">
        <v>44</v>
      </c>
      <c r="AH1292" s="11" t="s">
        <v>49</v>
      </c>
      <c r="AI1292" s="11" t="s">
        <v>49</v>
      </c>
      <c r="AJ1292" s="11" t="s">
        <v>84</v>
      </c>
      <c r="AK1292" s="11" t="s">
        <v>44</v>
      </c>
      <c r="AL1292" s="11">
        <v>3.6</v>
      </c>
      <c r="AM1292" s="10" t="s">
        <v>44</v>
      </c>
      <c r="AN1292" s="9">
        <v>590</v>
      </c>
      <c r="AO1292" s="8" t="s">
        <v>115</v>
      </c>
      <c r="AP1292" s="8">
        <v>970</v>
      </c>
      <c r="AQ1292" s="8">
        <v>36.200000000000003</v>
      </c>
      <c r="AR1292" s="8">
        <v>40</v>
      </c>
      <c r="AS1292" s="8">
        <v>39.1</v>
      </c>
      <c r="AT1292" s="8">
        <v>47</v>
      </c>
      <c r="AU1292" s="8">
        <v>14.9</v>
      </c>
      <c r="AV1292" s="8" t="s">
        <v>45</v>
      </c>
      <c r="AW1292" s="8" t="s">
        <v>44</v>
      </c>
      <c r="AX1292" s="8" t="s">
        <v>44</v>
      </c>
      <c r="AY1292" s="8" t="s">
        <v>64</v>
      </c>
      <c r="AZ1292" s="8" t="s">
        <v>114</v>
      </c>
      <c r="BA1292" s="7">
        <v>3.1</v>
      </c>
      <c r="BB1292" s="9"/>
      <c r="BC1292" s="8" t="s">
        <v>113</v>
      </c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7"/>
    </row>
    <row r="1293" spans="1:68" ht="14.25" customHeight="1">
      <c r="A1293" s="12">
        <v>636</v>
      </c>
      <c r="B1293" s="14">
        <v>36</v>
      </c>
      <c r="C1293" s="13" t="s">
        <v>30</v>
      </c>
      <c r="D1293" s="13" t="s">
        <v>99</v>
      </c>
      <c r="E1293" s="13" t="s">
        <v>110</v>
      </c>
      <c r="F1293" s="11">
        <v>-27.7</v>
      </c>
      <c r="G1293" s="11">
        <v>-21.9</v>
      </c>
      <c r="H1293" s="11">
        <v>-12.2</v>
      </c>
      <c r="I1293" s="11">
        <v>0.6</v>
      </c>
      <c r="J1293" s="11">
        <v>9.1</v>
      </c>
      <c r="K1293" s="11">
        <v>16.100000000000001</v>
      </c>
      <c r="L1293" s="11">
        <v>19.7</v>
      </c>
      <c r="M1293" s="11">
        <v>16.899999999999999</v>
      </c>
      <c r="N1293" s="11">
        <v>10</v>
      </c>
      <c r="O1293" s="11">
        <v>-0.8</v>
      </c>
      <c r="P1293" s="11">
        <v>-15.7</v>
      </c>
      <c r="Q1293" s="11">
        <v>-25.3</v>
      </c>
      <c r="R1293" s="10">
        <v>-2.6</v>
      </c>
      <c r="S1293" s="12">
        <v>36</v>
      </c>
      <c r="T1293" s="8" t="s">
        <v>112</v>
      </c>
      <c r="U1293" s="11">
        <v>-43</v>
      </c>
      <c r="V1293" s="11">
        <v>-41</v>
      </c>
      <c r="W1293" s="11">
        <v>-40</v>
      </c>
      <c r="X1293" s="11">
        <v>-38</v>
      </c>
      <c r="Y1293" s="11">
        <v>-33</v>
      </c>
      <c r="Z1293" s="11">
        <v>-52</v>
      </c>
      <c r="AA1293" s="11">
        <v>13.4</v>
      </c>
      <c r="AB1293" s="11">
        <v>182</v>
      </c>
      <c r="AC1293" s="11">
        <v>-17</v>
      </c>
      <c r="AD1293" s="11">
        <v>233</v>
      </c>
      <c r="AE1293" s="11">
        <v>-12.5</v>
      </c>
      <c r="AF1293" s="11">
        <v>246</v>
      </c>
      <c r="AG1293" s="11">
        <v>-11.3</v>
      </c>
      <c r="AH1293" s="11" t="s">
        <v>49</v>
      </c>
      <c r="AI1293" s="11">
        <v>70</v>
      </c>
      <c r="AJ1293" s="11">
        <v>60</v>
      </c>
      <c r="AK1293" s="11" t="s">
        <v>75</v>
      </c>
      <c r="AL1293" s="11">
        <v>2.2999999999999998</v>
      </c>
      <c r="AM1293" s="10">
        <v>2.4</v>
      </c>
      <c r="AN1293" s="9">
        <v>36</v>
      </c>
      <c r="AO1293" s="8" t="s">
        <v>111</v>
      </c>
      <c r="AP1293" s="8">
        <v>975</v>
      </c>
      <c r="AQ1293" s="8">
        <v>23.5</v>
      </c>
      <c r="AR1293" s="8">
        <v>27.6</v>
      </c>
      <c r="AS1293" s="8">
        <v>25.9</v>
      </c>
      <c r="AT1293" s="8">
        <v>40</v>
      </c>
      <c r="AU1293" s="8">
        <v>12.9</v>
      </c>
      <c r="AV1293" s="8" t="s">
        <v>45</v>
      </c>
      <c r="AW1293" s="8">
        <v>58</v>
      </c>
      <c r="AX1293" s="8">
        <v>496</v>
      </c>
      <c r="AY1293" s="8">
        <v>78</v>
      </c>
      <c r="AZ1293" s="8" t="s">
        <v>54</v>
      </c>
      <c r="BA1293" s="7">
        <v>0</v>
      </c>
      <c r="BB1293" s="9"/>
      <c r="BC1293" s="8" t="s">
        <v>110</v>
      </c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7"/>
    </row>
    <row r="1294" spans="1:68" ht="14.25" customHeight="1">
      <c r="A1294" s="12">
        <v>637</v>
      </c>
      <c r="B1294" s="14">
        <v>371</v>
      </c>
      <c r="C1294" s="13" t="s">
        <v>30</v>
      </c>
      <c r="D1294" s="13" t="s">
        <v>109</v>
      </c>
      <c r="E1294" s="13" t="s">
        <v>106</v>
      </c>
      <c r="F1294" s="11">
        <v>-18.5</v>
      </c>
      <c r="G1294" s="11">
        <v>-17.2</v>
      </c>
      <c r="H1294" s="11">
        <v>-8.9</v>
      </c>
      <c r="I1294" s="11">
        <v>1.3</v>
      </c>
      <c r="J1294" s="11">
        <v>8.9</v>
      </c>
      <c r="K1294" s="11">
        <v>15.6</v>
      </c>
      <c r="L1294" s="11">
        <v>17.7</v>
      </c>
      <c r="M1294" s="11">
        <v>14.9</v>
      </c>
      <c r="N1294" s="11">
        <v>8.8000000000000007</v>
      </c>
      <c r="O1294" s="11">
        <v>1.2</v>
      </c>
      <c r="P1294" s="11">
        <v>-9.1</v>
      </c>
      <c r="Q1294" s="11">
        <v>-16.399999999999999</v>
      </c>
      <c r="R1294" s="10">
        <v>-0.1</v>
      </c>
      <c r="S1294" s="12">
        <v>371</v>
      </c>
      <c r="T1294" s="8" t="s">
        <v>108</v>
      </c>
      <c r="U1294" s="11">
        <v>-43</v>
      </c>
      <c r="V1294" s="11">
        <v>-40</v>
      </c>
      <c r="W1294" s="11">
        <v>-39</v>
      </c>
      <c r="X1294" s="11">
        <v>-38</v>
      </c>
      <c r="Y1294" s="11">
        <v>-24</v>
      </c>
      <c r="Z1294" s="11">
        <v>-49</v>
      </c>
      <c r="AA1294" s="11">
        <v>10.5</v>
      </c>
      <c r="AB1294" s="11">
        <v>174</v>
      </c>
      <c r="AC1294" s="11">
        <v>-11.9</v>
      </c>
      <c r="AD1294" s="11">
        <v>236</v>
      </c>
      <c r="AE1294" s="11">
        <v>-7.7</v>
      </c>
      <c r="AF1294" s="11">
        <v>254</v>
      </c>
      <c r="AG1294" s="11">
        <v>-6.6</v>
      </c>
      <c r="AH1294" s="11">
        <v>73</v>
      </c>
      <c r="AI1294" s="11">
        <v>70</v>
      </c>
      <c r="AJ1294" s="11">
        <v>36</v>
      </c>
      <c r="AK1294" s="11" t="s">
        <v>39</v>
      </c>
      <c r="AL1294" s="11">
        <v>4.0999999999999996</v>
      </c>
      <c r="AM1294" s="10">
        <v>2.5</v>
      </c>
      <c r="AN1294" s="9">
        <v>371</v>
      </c>
      <c r="AO1294" s="8" t="s">
        <v>107</v>
      </c>
      <c r="AP1294" s="8">
        <v>955</v>
      </c>
      <c r="AQ1294" s="8">
        <v>21.7</v>
      </c>
      <c r="AR1294" s="8">
        <v>25.9</v>
      </c>
      <c r="AS1294" s="8">
        <v>24.1</v>
      </c>
      <c r="AT1294" s="8">
        <v>36</v>
      </c>
      <c r="AU1294" s="8">
        <v>12.5</v>
      </c>
      <c r="AV1294" s="8">
        <v>68</v>
      </c>
      <c r="AW1294" s="8">
        <v>55</v>
      </c>
      <c r="AX1294" s="8">
        <v>291</v>
      </c>
      <c r="AY1294" s="8">
        <v>147</v>
      </c>
      <c r="AZ1294" s="8" t="s">
        <v>82</v>
      </c>
      <c r="BA1294" s="7">
        <v>0</v>
      </c>
      <c r="BB1294" s="9">
        <v>336</v>
      </c>
      <c r="BC1294" s="8" t="s">
        <v>106</v>
      </c>
      <c r="BD1294" s="8">
        <v>1.3</v>
      </c>
      <c r="BE1294" s="8">
        <v>1.4</v>
      </c>
      <c r="BF1294" s="8">
        <v>2.4</v>
      </c>
      <c r="BG1294" s="8">
        <v>4.0999999999999996</v>
      </c>
      <c r="BH1294" s="8">
        <v>6.2</v>
      </c>
      <c r="BI1294" s="8">
        <v>10.7</v>
      </c>
      <c r="BJ1294" s="8">
        <v>13.7</v>
      </c>
      <c r="BK1294" s="8">
        <v>11.8</v>
      </c>
      <c r="BL1294" s="8">
        <v>7.8</v>
      </c>
      <c r="BM1294" s="8">
        <v>4.4000000000000004</v>
      </c>
      <c r="BN1294" s="8">
        <v>2.4</v>
      </c>
      <c r="BO1294" s="8">
        <v>1.5</v>
      </c>
      <c r="BP1294" s="7">
        <v>5.6</v>
      </c>
    </row>
    <row r="1295" spans="1:68" ht="14.25" customHeight="1">
      <c r="A1295" s="12">
        <v>638</v>
      </c>
      <c r="B1295" s="14">
        <v>490</v>
      </c>
      <c r="C1295" s="13" t="s">
        <v>105</v>
      </c>
      <c r="D1295" s="13" t="s">
        <v>105</v>
      </c>
      <c r="E1295" s="13" t="s">
        <v>104</v>
      </c>
      <c r="F1295" s="11">
        <v>-1.8</v>
      </c>
      <c r="G1295" s="11">
        <v>-0.4</v>
      </c>
      <c r="H1295" s="11">
        <v>4.0999999999999996</v>
      </c>
      <c r="I1295" s="11">
        <v>10.3</v>
      </c>
      <c r="J1295" s="11">
        <v>15.3</v>
      </c>
      <c r="K1295" s="11">
        <v>19.399999999999999</v>
      </c>
      <c r="L1295" s="11">
        <v>22.9</v>
      </c>
      <c r="M1295" s="11">
        <v>22.1</v>
      </c>
      <c r="N1295" s="11">
        <v>17.8</v>
      </c>
      <c r="O1295" s="11">
        <v>11.1</v>
      </c>
      <c r="P1295" s="11">
        <v>5.7</v>
      </c>
      <c r="Q1295" s="11">
        <v>0.8</v>
      </c>
      <c r="R1295" s="10">
        <v>10.6</v>
      </c>
      <c r="S1295" s="12">
        <v>490</v>
      </c>
      <c r="T1295" s="8" t="s">
        <v>102</v>
      </c>
      <c r="U1295" s="11">
        <v>-21</v>
      </c>
      <c r="V1295" s="11">
        <v>-18</v>
      </c>
      <c r="W1295" s="11">
        <v>-17</v>
      </c>
      <c r="X1295" s="11">
        <v>-14</v>
      </c>
      <c r="Y1295" s="11">
        <v>-5</v>
      </c>
      <c r="Z1295" s="11">
        <v>-32</v>
      </c>
      <c r="AA1295" s="11">
        <v>12.4</v>
      </c>
      <c r="AB1295" s="11">
        <v>54</v>
      </c>
      <c r="AC1295" s="11">
        <v>-1.2</v>
      </c>
      <c r="AD1295" s="11">
        <v>153</v>
      </c>
      <c r="AE1295" s="11">
        <v>1.8</v>
      </c>
      <c r="AF1295" s="11">
        <v>174</v>
      </c>
      <c r="AG1295" s="11">
        <v>2.6</v>
      </c>
      <c r="AH1295" s="11" t="s">
        <v>49</v>
      </c>
      <c r="AI1295" s="11">
        <v>63</v>
      </c>
      <c r="AJ1295" s="11">
        <v>160</v>
      </c>
      <c r="AK1295" s="11" t="s">
        <v>75</v>
      </c>
      <c r="AL1295" s="11" t="s">
        <v>44</v>
      </c>
      <c r="AM1295" s="10">
        <v>3</v>
      </c>
      <c r="AN1295" s="9">
        <v>490</v>
      </c>
      <c r="AO1295" s="8" t="s">
        <v>103</v>
      </c>
      <c r="AP1295" s="8">
        <v>950</v>
      </c>
      <c r="AQ1295" s="8">
        <v>26</v>
      </c>
      <c r="AR1295" s="8">
        <v>32</v>
      </c>
      <c r="AS1295" s="8">
        <v>30.3</v>
      </c>
      <c r="AT1295" s="8">
        <v>39</v>
      </c>
      <c r="AU1295" s="8">
        <v>15</v>
      </c>
      <c r="AV1295" s="8">
        <v>66</v>
      </c>
      <c r="AW1295" s="8">
        <v>46</v>
      </c>
      <c r="AX1295" s="8" t="s">
        <v>44</v>
      </c>
      <c r="AY1295" s="8">
        <v>134</v>
      </c>
      <c r="AZ1295" s="8" t="s">
        <v>63</v>
      </c>
      <c r="BA1295" s="7">
        <v>1</v>
      </c>
      <c r="BB1295" s="9"/>
      <c r="BC1295" s="8" t="s">
        <v>102</v>
      </c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7"/>
    </row>
    <row r="1296" spans="1:68" ht="14.25" customHeight="1">
      <c r="A1296" s="12">
        <v>639</v>
      </c>
      <c r="B1296" s="14">
        <v>448</v>
      </c>
      <c r="C1296" s="13" t="s">
        <v>30</v>
      </c>
      <c r="D1296" s="13" t="s">
        <v>57</v>
      </c>
      <c r="E1296" s="13" t="s">
        <v>100</v>
      </c>
      <c r="F1296" s="11">
        <v>-37.700000000000003</v>
      </c>
      <c r="G1296" s="11">
        <v>-34.200000000000003</v>
      </c>
      <c r="H1296" s="11">
        <v>-23.8</v>
      </c>
      <c r="I1296" s="11">
        <v>-11.8</v>
      </c>
      <c r="J1296" s="11">
        <v>0</v>
      </c>
      <c r="K1296" s="11">
        <v>10.9</v>
      </c>
      <c r="L1296" s="11">
        <v>15.1</v>
      </c>
      <c r="M1296" s="11">
        <v>10.9</v>
      </c>
      <c r="N1296" s="11">
        <v>2.8</v>
      </c>
      <c r="O1296" s="11">
        <v>-10.5</v>
      </c>
      <c r="P1296" s="11">
        <v>-28.4</v>
      </c>
      <c r="Q1296" s="11">
        <v>-35.5</v>
      </c>
      <c r="R1296" s="10">
        <v>-11.9</v>
      </c>
      <c r="S1296" s="12">
        <v>448</v>
      </c>
      <c r="T1296" s="8" t="s">
        <v>100</v>
      </c>
      <c r="U1296" s="11">
        <v>-56</v>
      </c>
      <c r="V1296" s="11">
        <v>-54</v>
      </c>
      <c r="W1296" s="11">
        <v>-54</v>
      </c>
      <c r="X1296" s="11">
        <v>-52</v>
      </c>
      <c r="Y1296" s="11">
        <v>-43</v>
      </c>
      <c r="Z1296" s="11">
        <v>-59</v>
      </c>
      <c r="AA1296" s="11">
        <v>9.6</v>
      </c>
      <c r="AB1296" s="11">
        <v>236</v>
      </c>
      <c r="AC1296" s="11">
        <v>-23.1</v>
      </c>
      <c r="AD1296" s="11">
        <v>284</v>
      </c>
      <c r="AE1296" s="11">
        <v>-18.5</v>
      </c>
      <c r="AF1296" s="11">
        <v>298</v>
      </c>
      <c r="AG1296" s="11">
        <v>-17.3</v>
      </c>
      <c r="AH1296" s="11">
        <v>75</v>
      </c>
      <c r="AI1296" s="11">
        <v>75</v>
      </c>
      <c r="AJ1296" s="11">
        <v>38</v>
      </c>
      <c r="AK1296" s="11" t="s">
        <v>34</v>
      </c>
      <c r="AL1296" s="11" t="s">
        <v>44</v>
      </c>
      <c r="AM1296" s="10">
        <v>2.6</v>
      </c>
      <c r="AN1296" s="9">
        <v>448</v>
      </c>
      <c r="AO1296" s="8" t="s">
        <v>101</v>
      </c>
      <c r="AP1296" s="8">
        <v>975</v>
      </c>
      <c r="AQ1296" s="8">
        <v>18.399999999999999</v>
      </c>
      <c r="AR1296" s="8">
        <v>22.8</v>
      </c>
      <c r="AS1296" s="8">
        <v>20.8</v>
      </c>
      <c r="AT1296" s="8">
        <v>33</v>
      </c>
      <c r="AU1296" s="8">
        <v>11.7</v>
      </c>
      <c r="AV1296" s="8">
        <v>66</v>
      </c>
      <c r="AW1296" s="8">
        <v>54</v>
      </c>
      <c r="AX1296" s="8">
        <v>211</v>
      </c>
      <c r="AY1296" s="8">
        <v>52</v>
      </c>
      <c r="AZ1296" s="8" t="s">
        <v>32</v>
      </c>
      <c r="BA1296" s="7" t="s">
        <v>46</v>
      </c>
      <c r="BB1296" s="9">
        <v>410</v>
      </c>
      <c r="BC1296" s="8" t="s">
        <v>100</v>
      </c>
      <c r="BD1296" s="8">
        <v>0.2</v>
      </c>
      <c r="BE1296" s="8">
        <v>0.3</v>
      </c>
      <c r="BF1296" s="8">
        <v>0.9</v>
      </c>
      <c r="BG1296" s="8">
        <v>1.9</v>
      </c>
      <c r="BH1296" s="8">
        <v>4.2</v>
      </c>
      <c r="BI1296" s="8">
        <v>8.1999999999999993</v>
      </c>
      <c r="BJ1296" s="8">
        <v>11.3</v>
      </c>
      <c r="BK1296" s="8">
        <v>9.5</v>
      </c>
      <c r="BL1296" s="8">
        <v>5.8</v>
      </c>
      <c r="BM1296" s="8">
        <v>2.7</v>
      </c>
      <c r="BN1296" s="8">
        <v>0.7</v>
      </c>
      <c r="BO1296" s="8">
        <v>0.4</v>
      </c>
      <c r="BP1296" s="7">
        <v>3.8</v>
      </c>
    </row>
    <row r="1297" spans="1:68" ht="14.25" customHeight="1">
      <c r="A1297" s="12">
        <v>640</v>
      </c>
      <c r="B1297" s="14">
        <v>37</v>
      </c>
      <c r="C1297" s="13" t="s">
        <v>30</v>
      </c>
      <c r="D1297" s="13" t="s">
        <v>99</v>
      </c>
      <c r="E1297" s="13" t="s">
        <v>96</v>
      </c>
      <c r="F1297" s="11">
        <v>-33.1</v>
      </c>
      <c r="G1297" s="11">
        <v>-24.8</v>
      </c>
      <c r="H1297" s="11">
        <v>-14.9</v>
      </c>
      <c r="I1297" s="11">
        <v>-3.2</v>
      </c>
      <c r="J1297" s="11">
        <v>6</v>
      </c>
      <c r="K1297" s="11">
        <v>13</v>
      </c>
      <c r="L1297" s="11">
        <v>16.8</v>
      </c>
      <c r="M1297" s="11">
        <v>14.5</v>
      </c>
      <c r="N1297" s="11">
        <v>7.7</v>
      </c>
      <c r="O1297" s="11">
        <v>-3.5</v>
      </c>
      <c r="P1297" s="11">
        <v>-19.3</v>
      </c>
      <c r="Q1297" s="11">
        <v>-30.5</v>
      </c>
      <c r="R1297" s="10">
        <v>-5.9</v>
      </c>
      <c r="S1297" s="12">
        <v>37</v>
      </c>
      <c r="T1297" s="8" t="s">
        <v>98</v>
      </c>
      <c r="U1297" s="11">
        <v>-47</v>
      </c>
      <c r="V1297" s="11">
        <v>-45</v>
      </c>
      <c r="W1297" s="11">
        <v>-45</v>
      </c>
      <c r="X1297" s="11">
        <v>-44</v>
      </c>
      <c r="Y1297" s="11">
        <v>-38</v>
      </c>
      <c r="Z1297" s="11">
        <v>-52</v>
      </c>
      <c r="AA1297" s="11">
        <v>11.4</v>
      </c>
      <c r="AB1297" s="11">
        <v>202</v>
      </c>
      <c r="AC1297" s="11">
        <v>-19.100000000000001</v>
      </c>
      <c r="AD1297" s="11">
        <v>253</v>
      </c>
      <c r="AE1297" s="11">
        <v>-14.4</v>
      </c>
      <c r="AF1297" s="11">
        <v>270</v>
      </c>
      <c r="AG1297" s="11">
        <v>-12.8</v>
      </c>
      <c r="AH1297" s="11">
        <v>74</v>
      </c>
      <c r="AI1297" s="11">
        <v>66</v>
      </c>
      <c r="AJ1297" s="11">
        <v>73</v>
      </c>
      <c r="AK1297" s="11" t="s">
        <v>66</v>
      </c>
      <c r="AL1297" s="11">
        <v>2.2000000000000002</v>
      </c>
      <c r="AM1297" s="10">
        <v>1.2</v>
      </c>
      <c r="AN1297" s="9">
        <v>37</v>
      </c>
      <c r="AO1297" s="8" t="s">
        <v>97</v>
      </c>
      <c r="AP1297" s="8">
        <v>950</v>
      </c>
      <c r="AQ1297" s="8">
        <v>22.1</v>
      </c>
      <c r="AR1297" s="8">
        <v>26.3</v>
      </c>
      <c r="AS1297" s="8">
        <v>24.5</v>
      </c>
      <c r="AT1297" s="8">
        <v>40</v>
      </c>
      <c r="AU1297" s="8">
        <v>14.2</v>
      </c>
      <c r="AV1297" s="8">
        <v>78</v>
      </c>
      <c r="AW1297" s="8">
        <v>58</v>
      </c>
      <c r="AX1297" s="8">
        <v>655</v>
      </c>
      <c r="AY1297" s="8">
        <v>96</v>
      </c>
      <c r="AZ1297" s="8" t="s">
        <v>63</v>
      </c>
      <c r="BA1297" s="7">
        <v>0</v>
      </c>
      <c r="BB1297" s="9">
        <v>23</v>
      </c>
      <c r="BC1297" s="8" t="s">
        <v>96</v>
      </c>
      <c r="BD1297" s="8">
        <v>0.4</v>
      </c>
      <c r="BE1297" s="8">
        <v>0.6</v>
      </c>
      <c r="BF1297" s="8">
        <v>1.5</v>
      </c>
      <c r="BG1297" s="8">
        <v>3.2</v>
      </c>
      <c r="BH1297" s="8">
        <v>5.7</v>
      </c>
      <c r="BI1297" s="8">
        <v>10.6</v>
      </c>
      <c r="BJ1297" s="8">
        <v>14.9</v>
      </c>
      <c r="BK1297" s="8">
        <v>14</v>
      </c>
      <c r="BL1297" s="8">
        <v>8.6999999999999993</v>
      </c>
      <c r="BM1297" s="8">
        <v>3.9</v>
      </c>
      <c r="BN1297" s="8">
        <v>1.4</v>
      </c>
      <c r="BO1297" s="8">
        <v>0.5</v>
      </c>
      <c r="BP1297" s="7">
        <v>5.4</v>
      </c>
    </row>
    <row r="1298" spans="1:68" ht="14.25" customHeight="1">
      <c r="A1298" s="12">
        <v>641</v>
      </c>
      <c r="B1298" s="14">
        <v>110</v>
      </c>
      <c r="C1298" s="13" t="s">
        <v>30</v>
      </c>
      <c r="D1298" s="13" t="s">
        <v>95</v>
      </c>
      <c r="E1298" s="13" t="s">
        <v>92</v>
      </c>
      <c r="F1298" s="11">
        <v>-6.8</v>
      </c>
      <c r="G1298" s="11">
        <v>-6.2</v>
      </c>
      <c r="H1298" s="11">
        <v>-0.3</v>
      </c>
      <c r="I1298" s="11">
        <v>9.5</v>
      </c>
      <c r="J1298" s="11">
        <v>16.899999999999999</v>
      </c>
      <c r="K1298" s="11">
        <v>21.5</v>
      </c>
      <c r="L1298" s="11">
        <v>24.4</v>
      </c>
      <c r="M1298" s="11">
        <v>23.2</v>
      </c>
      <c r="N1298" s="11">
        <v>16.8</v>
      </c>
      <c r="O1298" s="11">
        <v>8.9</v>
      </c>
      <c r="P1298" s="11">
        <v>2.1</v>
      </c>
      <c r="Q1298" s="11">
        <v>-2.9</v>
      </c>
      <c r="R1298" s="10">
        <v>8.9</v>
      </c>
      <c r="S1298" s="12">
        <v>110</v>
      </c>
      <c r="T1298" s="8" t="s">
        <v>94</v>
      </c>
      <c r="U1298" s="11">
        <v>-30</v>
      </c>
      <c r="V1298" s="11">
        <v>-27</v>
      </c>
      <c r="W1298" s="11">
        <v>-25</v>
      </c>
      <c r="X1298" s="11">
        <v>-23</v>
      </c>
      <c r="Y1298" s="11">
        <v>-12</v>
      </c>
      <c r="Z1298" s="11">
        <v>-34</v>
      </c>
      <c r="AA1298" s="11">
        <v>5.9</v>
      </c>
      <c r="AB1298" s="11">
        <v>109</v>
      </c>
      <c r="AC1298" s="11">
        <v>-4.2</v>
      </c>
      <c r="AD1298" s="11">
        <v>173</v>
      </c>
      <c r="AE1298" s="11">
        <v>-1.2</v>
      </c>
      <c r="AF1298" s="11">
        <v>188</v>
      </c>
      <c r="AG1298" s="11">
        <v>-0.4</v>
      </c>
      <c r="AH1298" s="11">
        <v>90</v>
      </c>
      <c r="AI1298" s="11">
        <v>90</v>
      </c>
      <c r="AJ1298" s="11">
        <v>132</v>
      </c>
      <c r="AK1298" s="11" t="s">
        <v>66</v>
      </c>
      <c r="AL1298" s="11">
        <v>7.6</v>
      </c>
      <c r="AM1298" s="10">
        <v>6.5</v>
      </c>
      <c r="AN1298" s="9">
        <v>110</v>
      </c>
      <c r="AO1298" s="8" t="s">
        <v>93</v>
      </c>
      <c r="AP1298" s="8">
        <v>995</v>
      </c>
      <c r="AQ1298" s="8">
        <v>28.5</v>
      </c>
      <c r="AR1298" s="8">
        <v>32</v>
      </c>
      <c r="AS1298" s="8">
        <v>31</v>
      </c>
      <c r="AT1298" s="8">
        <v>43</v>
      </c>
      <c r="AU1298" s="8">
        <v>13</v>
      </c>
      <c r="AV1298" s="8">
        <v>48</v>
      </c>
      <c r="AW1298" s="8">
        <v>34</v>
      </c>
      <c r="AX1298" s="8">
        <v>229</v>
      </c>
      <c r="AY1298" s="8">
        <v>71</v>
      </c>
      <c r="AZ1298" s="8" t="s">
        <v>43</v>
      </c>
      <c r="BA1298" s="7">
        <v>0</v>
      </c>
      <c r="BB1298" s="9">
        <v>94</v>
      </c>
      <c r="BC1298" s="8" t="s">
        <v>92</v>
      </c>
      <c r="BD1298" s="8">
        <v>3.8</v>
      </c>
      <c r="BE1298" s="8">
        <v>4</v>
      </c>
      <c r="BF1298" s="8">
        <v>5.2</v>
      </c>
      <c r="BG1298" s="8">
        <v>7.7</v>
      </c>
      <c r="BH1298" s="8">
        <v>10.4</v>
      </c>
      <c r="BI1298" s="8">
        <v>12.7</v>
      </c>
      <c r="BJ1298" s="8">
        <v>13.7</v>
      </c>
      <c r="BK1298" s="8">
        <v>13.3</v>
      </c>
      <c r="BL1298" s="8">
        <v>10.7</v>
      </c>
      <c r="BM1298" s="8">
        <v>8.3000000000000007</v>
      </c>
      <c r="BN1298" s="8">
        <v>6.6</v>
      </c>
      <c r="BO1298" s="8">
        <v>4.9000000000000004</v>
      </c>
      <c r="BP1298" s="7">
        <v>8.4</v>
      </c>
    </row>
    <row r="1299" spans="1:68" ht="14.25" customHeight="1">
      <c r="A1299" s="12">
        <v>642</v>
      </c>
      <c r="B1299" s="14">
        <v>71</v>
      </c>
      <c r="C1299" s="13" t="s">
        <v>30</v>
      </c>
      <c r="D1299" s="13" t="s">
        <v>91</v>
      </c>
      <c r="E1299" s="13" t="s">
        <v>88</v>
      </c>
      <c r="F1299" s="11">
        <v>-10.199999999999999</v>
      </c>
      <c r="G1299" s="11">
        <v>-10.1</v>
      </c>
      <c r="H1299" s="11">
        <v>-3</v>
      </c>
      <c r="I1299" s="11">
        <v>9.1</v>
      </c>
      <c r="J1299" s="11">
        <v>17.3</v>
      </c>
      <c r="K1299" s="11">
        <v>22.2</v>
      </c>
      <c r="L1299" s="11">
        <v>24.6</v>
      </c>
      <c r="M1299" s="11">
        <v>23.1</v>
      </c>
      <c r="N1299" s="11">
        <v>16.100000000000001</v>
      </c>
      <c r="O1299" s="11">
        <v>7.4</v>
      </c>
      <c r="P1299" s="11">
        <v>-0.1</v>
      </c>
      <c r="Q1299" s="11">
        <v>-6.7</v>
      </c>
      <c r="R1299" s="10">
        <v>7.5</v>
      </c>
      <c r="S1299" s="12">
        <v>71</v>
      </c>
      <c r="T1299" s="8" t="s">
        <v>90</v>
      </c>
      <c r="U1299" s="11">
        <v>-32</v>
      </c>
      <c r="V1299" s="11">
        <v>-31</v>
      </c>
      <c r="W1299" s="11">
        <v>-29</v>
      </c>
      <c r="X1299" s="11">
        <v>-26</v>
      </c>
      <c r="Y1299" s="11">
        <v>-15</v>
      </c>
      <c r="Z1299" s="11">
        <v>-36</v>
      </c>
      <c r="AA1299" s="11">
        <v>7.4</v>
      </c>
      <c r="AB1299" s="11">
        <v>128</v>
      </c>
      <c r="AC1299" s="11">
        <v>-6.7</v>
      </c>
      <c r="AD1299" s="11">
        <v>181</v>
      </c>
      <c r="AE1299" s="11">
        <v>-3.6</v>
      </c>
      <c r="AF1299" s="11">
        <v>194</v>
      </c>
      <c r="AG1299" s="11">
        <v>-2.8</v>
      </c>
      <c r="AH1299" s="11">
        <v>83</v>
      </c>
      <c r="AI1299" s="11">
        <v>82</v>
      </c>
      <c r="AJ1299" s="11">
        <v>127</v>
      </c>
      <c r="AK1299" s="11" t="s">
        <v>66</v>
      </c>
      <c r="AL1299" s="11">
        <v>4.5999999999999996</v>
      </c>
      <c r="AM1299" s="10">
        <v>4.5999999999999996</v>
      </c>
      <c r="AN1299" s="9">
        <v>71</v>
      </c>
      <c r="AO1299" s="8" t="s">
        <v>89</v>
      </c>
      <c r="AP1299" s="8">
        <v>1010</v>
      </c>
      <c r="AQ1299" s="8">
        <v>28.9</v>
      </c>
      <c r="AR1299" s="8">
        <v>32.5</v>
      </c>
      <c r="AS1299" s="8">
        <v>31.3</v>
      </c>
      <c r="AT1299" s="8">
        <v>45</v>
      </c>
      <c r="AU1299" s="8">
        <v>13.3</v>
      </c>
      <c r="AV1299" s="8">
        <v>47</v>
      </c>
      <c r="AW1299" s="8">
        <v>33</v>
      </c>
      <c r="AX1299" s="8">
        <v>190</v>
      </c>
      <c r="AY1299" s="8">
        <v>99</v>
      </c>
      <c r="AZ1299" s="8" t="s">
        <v>37</v>
      </c>
      <c r="BA1299" s="7">
        <v>0</v>
      </c>
      <c r="BB1299" s="9">
        <v>56</v>
      </c>
      <c r="BC1299" s="8" t="s">
        <v>88</v>
      </c>
      <c r="BD1299" s="8">
        <v>2.7</v>
      </c>
      <c r="BE1299" s="8">
        <v>3</v>
      </c>
      <c r="BF1299" s="8">
        <v>4.4000000000000004</v>
      </c>
      <c r="BG1299" s="8">
        <v>7.3</v>
      </c>
      <c r="BH1299" s="8">
        <v>9.6999999999999993</v>
      </c>
      <c r="BI1299" s="8">
        <v>12.3</v>
      </c>
      <c r="BJ1299" s="8">
        <v>13.8</v>
      </c>
      <c r="BK1299" s="8">
        <v>12.8</v>
      </c>
      <c r="BL1299" s="8">
        <v>9.6999999999999993</v>
      </c>
      <c r="BM1299" s="8" t="s">
        <v>87</v>
      </c>
      <c r="BN1299" s="8">
        <v>5.2</v>
      </c>
      <c r="BO1299" s="8">
        <v>3.8</v>
      </c>
      <c r="BP1299" s="7">
        <v>7.6</v>
      </c>
    </row>
    <row r="1300" spans="1:68" ht="14.25" customHeight="1">
      <c r="A1300" s="12">
        <v>643</v>
      </c>
      <c r="B1300" s="14">
        <v>369</v>
      </c>
      <c r="C1300" s="13" t="s">
        <v>30</v>
      </c>
      <c r="D1300" s="13" t="s">
        <v>86</v>
      </c>
      <c r="E1300" s="13" t="s">
        <v>81</v>
      </c>
      <c r="F1300" s="11">
        <v>-20.2</v>
      </c>
      <c r="G1300" s="11">
        <v>-17.3</v>
      </c>
      <c r="H1300" s="11">
        <v>-11.3</v>
      </c>
      <c r="I1300" s="11">
        <v>-4</v>
      </c>
      <c r="J1300" s="11">
        <v>1.4</v>
      </c>
      <c r="K1300" s="11">
        <v>6.1</v>
      </c>
      <c r="L1300" s="11">
        <v>11.5</v>
      </c>
      <c r="M1300" s="11">
        <v>13.3</v>
      </c>
      <c r="N1300" s="11">
        <v>8.9</v>
      </c>
      <c r="O1300" s="11">
        <v>-0.5</v>
      </c>
      <c r="P1300" s="11">
        <v>-11.4</v>
      </c>
      <c r="Q1300" s="11">
        <v>-17.5</v>
      </c>
      <c r="R1300" s="10">
        <v>-3.4</v>
      </c>
      <c r="S1300" s="12">
        <v>369</v>
      </c>
      <c r="T1300" s="8" t="s">
        <v>85</v>
      </c>
      <c r="U1300" s="11">
        <v>-31</v>
      </c>
      <c r="V1300" s="11">
        <v>-30</v>
      </c>
      <c r="W1300" s="11">
        <v>-30</v>
      </c>
      <c r="X1300" s="11">
        <v>-28</v>
      </c>
      <c r="Y1300" s="11">
        <v>-25</v>
      </c>
      <c r="Z1300" s="11">
        <v>-41</v>
      </c>
      <c r="AA1300" s="11">
        <v>6.2</v>
      </c>
      <c r="AB1300" s="11">
        <v>206</v>
      </c>
      <c r="AC1300" s="11">
        <v>-12</v>
      </c>
      <c r="AD1300" s="11">
        <v>281</v>
      </c>
      <c r="AE1300" s="11">
        <v>-7.7</v>
      </c>
      <c r="AF1300" s="11">
        <v>303</v>
      </c>
      <c r="AG1300" s="11">
        <v>-6.5</v>
      </c>
      <c r="AH1300" s="11">
        <v>48</v>
      </c>
      <c r="AI1300" s="11">
        <v>45</v>
      </c>
      <c r="AJ1300" s="11" t="s">
        <v>84</v>
      </c>
      <c r="AK1300" s="11" t="s">
        <v>75</v>
      </c>
      <c r="AL1300" s="11" t="s">
        <v>44</v>
      </c>
      <c r="AM1300" s="10">
        <v>4.8</v>
      </c>
      <c r="AN1300" s="9">
        <v>369</v>
      </c>
      <c r="AO1300" s="8" t="s">
        <v>83</v>
      </c>
      <c r="AP1300" s="8">
        <v>1010</v>
      </c>
      <c r="AQ1300" s="8">
        <v>14.9</v>
      </c>
      <c r="AR1300" s="8">
        <v>19.399999999999999</v>
      </c>
      <c r="AS1300" s="8">
        <v>17.3</v>
      </c>
      <c r="AT1300" s="8">
        <v>34</v>
      </c>
      <c r="AU1300" s="8">
        <v>8</v>
      </c>
      <c r="AV1300" s="8">
        <v>86</v>
      </c>
      <c r="AW1300" s="8">
        <v>74</v>
      </c>
      <c r="AX1300" s="8">
        <v>551</v>
      </c>
      <c r="AY1300" s="8" t="s">
        <v>64</v>
      </c>
      <c r="AZ1300" s="8" t="s">
        <v>82</v>
      </c>
      <c r="BA1300" s="7" t="s">
        <v>46</v>
      </c>
      <c r="BB1300" s="9">
        <v>334</v>
      </c>
      <c r="BC1300" s="8" t="s">
        <v>81</v>
      </c>
      <c r="BD1300" s="8">
        <v>0.8</v>
      </c>
      <c r="BE1300" s="8">
        <v>0.9</v>
      </c>
      <c r="BF1300" s="8">
        <v>1.5</v>
      </c>
      <c r="BG1300" s="8">
        <v>3.1</v>
      </c>
      <c r="BH1300" s="8">
        <v>5.4</v>
      </c>
      <c r="BI1300" s="8">
        <v>8.5</v>
      </c>
      <c r="BJ1300" s="8">
        <v>11.7</v>
      </c>
      <c r="BK1300" s="8">
        <v>12.4</v>
      </c>
      <c r="BL1300" s="8">
        <v>8.6999999999999993</v>
      </c>
      <c r="BM1300" s="8">
        <v>3.5</v>
      </c>
      <c r="BN1300" s="8">
        <v>1.6</v>
      </c>
      <c r="BO1300" s="8">
        <v>0.9</v>
      </c>
      <c r="BP1300" s="7">
        <v>4.9000000000000004</v>
      </c>
    </row>
    <row r="1301" spans="1:68" ht="14.25" customHeight="1">
      <c r="A1301" s="12">
        <v>644</v>
      </c>
      <c r="B1301" s="14">
        <v>399</v>
      </c>
      <c r="C1301" s="13" t="s">
        <v>30</v>
      </c>
      <c r="D1301" s="13" t="s">
        <v>80</v>
      </c>
      <c r="E1301" s="13" t="s">
        <v>77</v>
      </c>
      <c r="F1301" s="11">
        <v>-23.9</v>
      </c>
      <c r="G1301" s="11">
        <v>-26.5</v>
      </c>
      <c r="H1301" s="11">
        <v>-24.1</v>
      </c>
      <c r="I1301" s="11">
        <v>-16</v>
      </c>
      <c r="J1301" s="11">
        <v>-2</v>
      </c>
      <c r="K1301" s="11">
        <v>9.8000000000000007</v>
      </c>
      <c r="L1301" s="11">
        <v>12.5</v>
      </c>
      <c r="M1301" s="11">
        <v>9.1999999999999993</v>
      </c>
      <c r="N1301" s="11">
        <v>2.2000000000000002</v>
      </c>
      <c r="O1301" s="11">
        <v>-10.3</v>
      </c>
      <c r="P1301" s="11">
        <v>-20.5</v>
      </c>
      <c r="Q1301" s="11">
        <v>-26.2</v>
      </c>
      <c r="R1301" s="10">
        <v>-9.6</v>
      </c>
      <c r="S1301" s="12">
        <v>399</v>
      </c>
      <c r="T1301" s="8" t="s">
        <v>79</v>
      </c>
      <c r="U1301" s="11">
        <v>-54</v>
      </c>
      <c r="V1301" s="11">
        <v>-51</v>
      </c>
      <c r="W1301" s="11">
        <v>-52</v>
      </c>
      <c r="X1301" s="11">
        <v>-48</v>
      </c>
      <c r="Y1301" s="11">
        <v>-32</v>
      </c>
      <c r="Z1301" s="11">
        <v>-55</v>
      </c>
      <c r="AA1301" s="11">
        <v>10.5</v>
      </c>
      <c r="AB1301" s="11">
        <v>242</v>
      </c>
      <c r="AC1301" s="11">
        <v>-18.399999999999999</v>
      </c>
      <c r="AD1301" s="11">
        <v>294</v>
      </c>
      <c r="AE1301" s="11">
        <v>-14.5</v>
      </c>
      <c r="AF1301" s="11">
        <v>313</v>
      </c>
      <c r="AG1301" s="11">
        <v>-13</v>
      </c>
      <c r="AH1301" s="11">
        <v>73</v>
      </c>
      <c r="AI1301" s="11">
        <v>73</v>
      </c>
      <c r="AJ1301" s="11">
        <v>95</v>
      </c>
      <c r="AK1301" s="11" t="s">
        <v>75</v>
      </c>
      <c r="AL1301" s="11" t="s">
        <v>44</v>
      </c>
      <c r="AM1301" s="10">
        <v>2.2000000000000002</v>
      </c>
      <c r="AN1301" s="9">
        <v>399</v>
      </c>
      <c r="AO1301" s="8" t="s">
        <v>78</v>
      </c>
      <c r="AP1301" s="8">
        <v>1000</v>
      </c>
      <c r="AQ1301" s="8">
        <v>16</v>
      </c>
      <c r="AR1301" s="8">
        <v>20.5</v>
      </c>
      <c r="AS1301" s="8">
        <v>18.399999999999999</v>
      </c>
      <c r="AT1301" s="8">
        <v>33</v>
      </c>
      <c r="AU1301" s="8">
        <v>11.7</v>
      </c>
      <c r="AV1301" s="8">
        <v>70</v>
      </c>
      <c r="AW1301" s="8">
        <v>60</v>
      </c>
      <c r="AX1301" s="8">
        <v>203</v>
      </c>
      <c r="AY1301" s="8">
        <v>34</v>
      </c>
      <c r="AZ1301" s="8" t="s">
        <v>54</v>
      </c>
      <c r="BA1301" s="7" t="s">
        <v>46</v>
      </c>
      <c r="BB1301" s="9">
        <v>363</v>
      </c>
      <c r="BC1301" s="8" t="s">
        <v>77</v>
      </c>
      <c r="BD1301" s="8">
        <v>1.1000000000000001</v>
      </c>
      <c r="BE1301" s="8">
        <v>0.8</v>
      </c>
      <c r="BF1301" s="8">
        <v>0.8</v>
      </c>
      <c r="BG1301" s="8">
        <v>1.5</v>
      </c>
      <c r="BH1301" s="8">
        <v>4.0999999999999996</v>
      </c>
      <c r="BI1301" s="8">
        <v>7.7</v>
      </c>
      <c r="BJ1301" s="8">
        <v>10.1</v>
      </c>
      <c r="BK1301" s="8">
        <v>8.8000000000000007</v>
      </c>
      <c r="BL1301" s="8">
        <v>5.5</v>
      </c>
      <c r="BM1301" s="8">
        <v>2.5</v>
      </c>
      <c r="BN1301" s="8">
        <v>1.3</v>
      </c>
      <c r="BO1301" s="8">
        <v>0.8</v>
      </c>
      <c r="BP1301" s="7">
        <v>3.8</v>
      </c>
    </row>
    <row r="1302" spans="1:68" ht="14.25" customHeight="1">
      <c r="A1302" s="12">
        <v>645</v>
      </c>
      <c r="B1302" s="14">
        <v>300</v>
      </c>
      <c r="C1302" s="13" t="s">
        <v>30</v>
      </c>
      <c r="D1302" s="13" t="s">
        <v>72</v>
      </c>
      <c r="E1302" s="13" t="s">
        <v>73</v>
      </c>
      <c r="F1302" s="11">
        <v>-5</v>
      </c>
      <c r="G1302" s="11">
        <v>-6</v>
      </c>
      <c r="H1302" s="11">
        <v>-3.2</v>
      </c>
      <c r="I1302" s="11">
        <v>1.6</v>
      </c>
      <c r="J1302" s="11">
        <v>5.4</v>
      </c>
      <c r="K1302" s="11">
        <v>8.3000000000000007</v>
      </c>
      <c r="L1302" s="11">
        <v>12.6</v>
      </c>
      <c r="M1302" s="11">
        <v>15.8</v>
      </c>
      <c r="N1302" s="11">
        <v>14.7</v>
      </c>
      <c r="O1302" s="11">
        <v>10.3</v>
      </c>
      <c r="P1302" s="11">
        <v>4</v>
      </c>
      <c r="Q1302" s="11">
        <v>-1.3</v>
      </c>
      <c r="R1302" s="10">
        <v>4.8</v>
      </c>
      <c r="S1302" s="12">
        <v>300</v>
      </c>
      <c r="T1302" s="8" t="s">
        <v>76</v>
      </c>
      <c r="U1302" s="11">
        <v>-16</v>
      </c>
      <c r="V1302" s="11">
        <v>-15</v>
      </c>
      <c r="W1302" s="11">
        <v>-13</v>
      </c>
      <c r="X1302" s="11">
        <v>-12</v>
      </c>
      <c r="Y1302" s="11">
        <v>-11</v>
      </c>
      <c r="Z1302" s="11">
        <v>-20</v>
      </c>
      <c r="AA1302" s="11">
        <v>6.1</v>
      </c>
      <c r="AB1302" s="11">
        <v>118</v>
      </c>
      <c r="AC1302" s="11">
        <v>-3.7</v>
      </c>
      <c r="AD1302" s="11">
        <v>228</v>
      </c>
      <c r="AE1302" s="11">
        <v>0.1</v>
      </c>
      <c r="AF1302" s="11">
        <v>253</v>
      </c>
      <c r="AG1302" s="11">
        <v>1</v>
      </c>
      <c r="AH1302" s="11">
        <v>74</v>
      </c>
      <c r="AI1302" s="11">
        <v>73</v>
      </c>
      <c r="AJ1302" s="11">
        <v>410</v>
      </c>
      <c r="AK1302" s="11" t="s">
        <v>75</v>
      </c>
      <c r="AL1302" s="11">
        <v>8.5</v>
      </c>
      <c r="AM1302" s="10">
        <v>6.1</v>
      </c>
      <c r="AN1302" s="9">
        <v>294</v>
      </c>
      <c r="AO1302" s="8" t="s">
        <v>74</v>
      </c>
      <c r="AP1302" s="8">
        <v>1005</v>
      </c>
      <c r="AQ1302" s="8">
        <v>16.600000000000001</v>
      </c>
      <c r="AR1302" s="8">
        <v>20</v>
      </c>
      <c r="AS1302" s="8">
        <v>18.7</v>
      </c>
      <c r="AT1302" s="8">
        <v>31</v>
      </c>
      <c r="AU1302" s="8">
        <v>7.9</v>
      </c>
      <c r="AV1302" s="8">
        <v>93</v>
      </c>
      <c r="AW1302" s="8">
        <v>92</v>
      </c>
      <c r="AX1302" s="8">
        <v>909</v>
      </c>
      <c r="AY1302" s="8">
        <v>144</v>
      </c>
      <c r="AZ1302" s="8" t="s">
        <v>37</v>
      </c>
      <c r="BA1302" s="7">
        <v>0</v>
      </c>
      <c r="BB1302" s="9">
        <v>265</v>
      </c>
      <c r="BC1302" s="8" t="s">
        <v>73</v>
      </c>
      <c r="BD1302" s="8">
        <v>3.2</v>
      </c>
      <c r="BE1302" s="8">
        <v>3</v>
      </c>
      <c r="BF1302" s="8">
        <v>3.9</v>
      </c>
      <c r="BG1302" s="8">
        <v>5.7</v>
      </c>
      <c r="BH1302" s="8">
        <v>7.8</v>
      </c>
      <c r="BI1302" s="8">
        <v>10.4</v>
      </c>
      <c r="BJ1302" s="8">
        <v>14.1</v>
      </c>
      <c r="BK1302" s="8">
        <v>16.8</v>
      </c>
      <c r="BL1302" s="8">
        <v>14.5</v>
      </c>
      <c r="BM1302" s="8">
        <v>9.8000000000000007</v>
      </c>
      <c r="BN1302" s="8">
        <v>6.2</v>
      </c>
      <c r="BO1302" s="8">
        <v>4.2</v>
      </c>
      <c r="BP1302" s="7">
        <v>8.3000000000000007</v>
      </c>
    </row>
    <row r="1303" spans="1:68" ht="14.25" customHeight="1">
      <c r="A1303" s="12">
        <v>646</v>
      </c>
      <c r="B1303" s="14">
        <v>301</v>
      </c>
      <c r="C1303" s="13" t="s">
        <v>30</v>
      </c>
      <c r="D1303" s="13" t="s">
        <v>72</v>
      </c>
      <c r="E1303" s="13" t="s">
        <v>69</v>
      </c>
      <c r="F1303" s="11">
        <v>-13.7</v>
      </c>
      <c r="G1303" s="11">
        <v>-12.8</v>
      </c>
      <c r="H1303" s="11">
        <v>-6.6</v>
      </c>
      <c r="I1303" s="11">
        <v>1.3</v>
      </c>
      <c r="J1303" s="11">
        <v>6.7</v>
      </c>
      <c r="K1303" s="11">
        <v>11.2</v>
      </c>
      <c r="L1303" s="11">
        <v>15.6</v>
      </c>
      <c r="M1303" s="11">
        <v>16.899999999999999</v>
      </c>
      <c r="N1303" s="11">
        <v>12.9</v>
      </c>
      <c r="O1303" s="11">
        <v>6</v>
      </c>
      <c r="P1303" s="11">
        <v>-2.2999999999999998</v>
      </c>
      <c r="Q1303" s="11">
        <v>-9.1</v>
      </c>
      <c r="R1303" s="10">
        <v>2.2000000000000002</v>
      </c>
      <c r="S1303" s="12">
        <v>301</v>
      </c>
      <c r="T1303" s="8" t="s">
        <v>71</v>
      </c>
      <c r="U1303" s="11">
        <v>-28</v>
      </c>
      <c r="V1303" s="11">
        <v>-26</v>
      </c>
      <c r="W1303" s="11">
        <v>-25</v>
      </c>
      <c r="X1303" s="11">
        <v>-24</v>
      </c>
      <c r="Y1303" s="11">
        <v>-19</v>
      </c>
      <c r="Z1303" s="11">
        <v>-36</v>
      </c>
      <c r="AA1303" s="11">
        <v>10.8</v>
      </c>
      <c r="AB1303" s="11">
        <v>154</v>
      </c>
      <c r="AC1303" s="11">
        <v>-8.4</v>
      </c>
      <c r="AD1303" s="11">
        <v>230</v>
      </c>
      <c r="AE1303" s="11">
        <v>-4.3</v>
      </c>
      <c r="AF1303" s="11">
        <v>252</v>
      </c>
      <c r="AG1303" s="11">
        <v>-3.1</v>
      </c>
      <c r="AH1303" s="11">
        <v>81</v>
      </c>
      <c r="AI1303" s="11">
        <v>71</v>
      </c>
      <c r="AJ1303" s="11">
        <v>263</v>
      </c>
      <c r="AK1303" s="11" t="s">
        <v>56</v>
      </c>
      <c r="AL1303" s="11">
        <v>4.8</v>
      </c>
      <c r="AM1303" s="10">
        <v>3.4</v>
      </c>
      <c r="AN1303" s="9">
        <v>295</v>
      </c>
      <c r="AO1303" s="8" t="s">
        <v>70</v>
      </c>
      <c r="AP1303" s="8">
        <v>1010</v>
      </c>
      <c r="AQ1303" s="8">
        <v>19.7</v>
      </c>
      <c r="AR1303" s="8">
        <v>24</v>
      </c>
      <c r="AS1303" s="8">
        <v>22.1</v>
      </c>
      <c r="AT1303" s="8">
        <v>34</v>
      </c>
      <c r="AU1303" s="8">
        <v>9.1999999999999993</v>
      </c>
      <c r="AV1303" s="8">
        <v>86</v>
      </c>
      <c r="AW1303" s="8">
        <v>72</v>
      </c>
      <c r="AX1303" s="8">
        <v>559</v>
      </c>
      <c r="AY1303" s="8">
        <v>116</v>
      </c>
      <c r="AZ1303" s="8" t="s">
        <v>32</v>
      </c>
      <c r="BA1303" s="7">
        <v>0</v>
      </c>
      <c r="BB1303" s="9">
        <v>266</v>
      </c>
      <c r="BC1303" s="8" t="s">
        <v>69</v>
      </c>
      <c r="BD1303" s="8">
        <v>1.9</v>
      </c>
      <c r="BE1303" s="8">
        <v>2</v>
      </c>
      <c r="BF1303" s="8">
        <v>3.1</v>
      </c>
      <c r="BG1303" s="8">
        <v>5.2</v>
      </c>
      <c r="BH1303" s="8">
        <v>7.5</v>
      </c>
      <c r="BI1303" s="8">
        <v>10.9</v>
      </c>
      <c r="BJ1303" s="8">
        <v>15.3</v>
      </c>
      <c r="BK1303" s="8">
        <v>16.5</v>
      </c>
      <c r="BL1303" s="8">
        <v>12.3</v>
      </c>
      <c r="BM1303" s="8">
        <v>7.5</v>
      </c>
      <c r="BN1303" s="8">
        <v>4.3</v>
      </c>
      <c r="BO1303" s="8">
        <v>2.7</v>
      </c>
      <c r="BP1303" s="7">
        <v>7.4</v>
      </c>
    </row>
    <row r="1304" spans="1:68" ht="14.25" customHeight="1">
      <c r="A1304" s="12">
        <v>647</v>
      </c>
      <c r="B1304" s="14">
        <v>80</v>
      </c>
      <c r="C1304" s="13" t="s">
        <v>30</v>
      </c>
      <c r="D1304" s="13" t="s">
        <v>68</v>
      </c>
      <c r="E1304" s="13" t="s">
        <v>62</v>
      </c>
      <c r="F1304" s="11">
        <v>-3.6</v>
      </c>
      <c r="G1304" s="11">
        <v>-2.5</v>
      </c>
      <c r="H1304" s="11">
        <v>2.4</v>
      </c>
      <c r="I1304" s="11">
        <v>10.6</v>
      </c>
      <c r="J1304" s="11">
        <v>17.8</v>
      </c>
      <c r="K1304" s="11">
        <v>22.4</v>
      </c>
      <c r="L1304" s="11">
        <v>25.1</v>
      </c>
      <c r="M1304" s="11">
        <v>24.2</v>
      </c>
      <c r="N1304" s="11">
        <v>18.2</v>
      </c>
      <c r="O1304" s="11">
        <v>10.8</v>
      </c>
      <c r="P1304" s="11">
        <v>4.8</v>
      </c>
      <c r="Q1304" s="11">
        <v>0.5</v>
      </c>
      <c r="R1304" s="10">
        <v>10.9</v>
      </c>
      <c r="S1304" s="12">
        <v>80</v>
      </c>
      <c r="T1304" s="8" t="s">
        <v>67</v>
      </c>
      <c r="U1304" s="11">
        <v>-24</v>
      </c>
      <c r="V1304" s="11">
        <v>-23</v>
      </c>
      <c r="W1304" s="11">
        <v>-21</v>
      </c>
      <c r="X1304" s="11">
        <v>-19</v>
      </c>
      <c r="Y1304" s="11">
        <v>-10</v>
      </c>
      <c r="Z1304" s="11">
        <v>-35</v>
      </c>
      <c r="AA1304" s="11">
        <v>6.2</v>
      </c>
      <c r="AB1304" s="11">
        <v>77</v>
      </c>
      <c r="AC1304" s="11">
        <v>-2.5</v>
      </c>
      <c r="AD1304" s="11">
        <v>162</v>
      </c>
      <c r="AE1304" s="11">
        <v>0.8</v>
      </c>
      <c r="AF1304" s="11">
        <v>178</v>
      </c>
      <c r="AG1304" s="11">
        <v>1.6</v>
      </c>
      <c r="AH1304" s="11">
        <v>88</v>
      </c>
      <c r="AI1304" s="11">
        <v>85</v>
      </c>
      <c r="AJ1304" s="11">
        <v>99</v>
      </c>
      <c r="AK1304" s="11" t="s">
        <v>66</v>
      </c>
      <c r="AL1304" s="11" t="s">
        <v>44</v>
      </c>
      <c r="AM1304" s="10">
        <v>4.2</v>
      </c>
      <c r="AN1304" s="9">
        <v>80</v>
      </c>
      <c r="AO1304" s="8" t="s">
        <v>65</v>
      </c>
      <c r="AP1304" s="8">
        <v>1000</v>
      </c>
      <c r="AQ1304" s="8">
        <v>31</v>
      </c>
      <c r="AR1304" s="8">
        <v>35</v>
      </c>
      <c r="AS1304" s="8">
        <v>32.5</v>
      </c>
      <c r="AT1304" s="8">
        <v>42</v>
      </c>
      <c r="AU1304" s="8">
        <v>14.2</v>
      </c>
      <c r="AV1304" s="8">
        <v>58</v>
      </c>
      <c r="AW1304" s="8">
        <v>36</v>
      </c>
      <c r="AX1304" s="8">
        <v>186</v>
      </c>
      <c r="AY1304" s="8" t="s">
        <v>64</v>
      </c>
      <c r="AZ1304" s="8" t="s">
        <v>63</v>
      </c>
      <c r="BA1304" s="7" t="s">
        <v>46</v>
      </c>
      <c r="BB1304" s="9">
        <v>65</v>
      </c>
      <c r="BC1304" s="8" t="s">
        <v>62</v>
      </c>
      <c r="BD1304" s="8">
        <v>4.5999999999999996</v>
      </c>
      <c r="BE1304" s="8">
        <v>4.7</v>
      </c>
      <c r="BF1304" s="8">
        <v>5.9</v>
      </c>
      <c r="BG1304" s="8">
        <v>8.6999999999999993</v>
      </c>
      <c r="BH1304" s="8">
        <v>12.2</v>
      </c>
      <c r="BI1304" s="8">
        <v>15.4</v>
      </c>
      <c r="BJ1304" s="8">
        <v>17.600000000000001</v>
      </c>
      <c r="BK1304" s="8">
        <v>17.3</v>
      </c>
      <c r="BL1304" s="8">
        <v>13.7</v>
      </c>
      <c r="BM1304" s="8">
        <v>10.1</v>
      </c>
      <c r="BN1304" s="8">
        <v>7.7</v>
      </c>
      <c r="BO1304" s="8">
        <v>5.9</v>
      </c>
      <c r="BP1304" s="7">
        <v>10.3</v>
      </c>
    </row>
    <row r="1305" spans="1:68" ht="14.25" customHeight="1">
      <c r="A1305" s="12">
        <v>648</v>
      </c>
      <c r="B1305" s="14">
        <v>226</v>
      </c>
      <c r="C1305" s="13" t="s">
        <v>30</v>
      </c>
      <c r="D1305" s="13" t="s">
        <v>61</v>
      </c>
      <c r="E1305" s="13" t="s">
        <v>58</v>
      </c>
      <c r="F1305" s="11">
        <v>-12.2</v>
      </c>
      <c r="G1305" s="11">
        <v>-12.6</v>
      </c>
      <c r="H1305" s="11">
        <v>-10.9</v>
      </c>
      <c r="I1305" s="11">
        <v>-6.9</v>
      </c>
      <c r="J1305" s="11">
        <v>-1.9</v>
      </c>
      <c r="K1305" s="11">
        <v>4.9000000000000004</v>
      </c>
      <c r="L1305" s="11">
        <v>9</v>
      </c>
      <c r="M1305" s="11">
        <v>7.2</v>
      </c>
      <c r="N1305" s="11">
        <v>1.5</v>
      </c>
      <c r="O1305" s="11">
        <v>-4.0999999999999996</v>
      </c>
      <c r="P1305" s="11">
        <v>-7.7</v>
      </c>
      <c r="Q1305" s="11">
        <v>-10.4</v>
      </c>
      <c r="R1305" s="10">
        <v>-3.7</v>
      </c>
      <c r="S1305" s="12">
        <v>226</v>
      </c>
      <c r="T1305" s="8" t="s">
        <v>60</v>
      </c>
      <c r="U1305" s="11">
        <v>-31</v>
      </c>
      <c r="V1305" s="11">
        <v>-26</v>
      </c>
      <c r="W1305" s="11">
        <v>-27</v>
      </c>
      <c r="X1305" s="11">
        <v>-24</v>
      </c>
      <c r="Y1305" s="11">
        <v>-18</v>
      </c>
      <c r="Z1305" s="11">
        <v>-35</v>
      </c>
      <c r="AA1305" s="11">
        <v>4.8</v>
      </c>
      <c r="AB1305" s="11">
        <v>243</v>
      </c>
      <c r="AC1305" s="11">
        <v>-8.1</v>
      </c>
      <c r="AD1305" s="11">
        <v>340</v>
      </c>
      <c r="AE1305" s="11">
        <v>-4.5</v>
      </c>
      <c r="AF1305" s="11">
        <v>365</v>
      </c>
      <c r="AG1305" s="11">
        <v>-3.7</v>
      </c>
      <c r="AH1305" s="11">
        <v>92</v>
      </c>
      <c r="AI1305" s="11">
        <v>91</v>
      </c>
      <c r="AJ1305" s="11">
        <v>389</v>
      </c>
      <c r="AK1305" s="11" t="s">
        <v>39</v>
      </c>
      <c r="AL1305" s="11" t="s">
        <v>44</v>
      </c>
      <c r="AM1305" s="10">
        <v>5.0999999999999996</v>
      </c>
      <c r="AN1305" s="9">
        <v>226</v>
      </c>
      <c r="AO1305" s="8" t="s">
        <v>59</v>
      </c>
      <c r="AP1305" s="8">
        <v>920</v>
      </c>
      <c r="AQ1305" s="8">
        <v>10.1</v>
      </c>
      <c r="AR1305" s="8">
        <v>14.9</v>
      </c>
      <c r="AS1305" s="8">
        <v>12.5</v>
      </c>
      <c r="AT1305" s="8">
        <v>26</v>
      </c>
      <c r="AU1305" s="8">
        <v>6.3</v>
      </c>
      <c r="AV1305" s="8">
        <v>78</v>
      </c>
      <c r="AW1305" s="8">
        <v>72</v>
      </c>
      <c r="AX1305" s="8">
        <v>677</v>
      </c>
      <c r="AY1305" s="8">
        <v>80</v>
      </c>
      <c r="AZ1305" s="8" t="s">
        <v>32</v>
      </c>
      <c r="BA1305" s="7" t="s">
        <v>46</v>
      </c>
      <c r="BB1305" s="9">
        <v>201</v>
      </c>
      <c r="BC1305" s="8" t="s">
        <v>58</v>
      </c>
      <c r="BD1305" s="8">
        <v>2.4</v>
      </c>
      <c r="BE1305" s="8">
        <v>2.2999999999999998</v>
      </c>
      <c r="BF1305" s="8">
        <v>2.6</v>
      </c>
      <c r="BG1305" s="8">
        <v>3.3</v>
      </c>
      <c r="BH1305" s="8">
        <v>4.5999999999999996</v>
      </c>
      <c r="BI1305" s="8">
        <v>6.9</v>
      </c>
      <c r="BJ1305" s="8">
        <v>9</v>
      </c>
      <c r="BK1305" s="8">
        <v>8.8000000000000007</v>
      </c>
      <c r="BL1305" s="8">
        <v>6.5</v>
      </c>
      <c r="BM1305" s="8">
        <v>4.3</v>
      </c>
      <c r="BN1305" s="8">
        <v>3.3</v>
      </c>
      <c r="BO1305" s="8">
        <v>2.8</v>
      </c>
      <c r="BP1305" s="7">
        <v>4.7</v>
      </c>
    </row>
    <row r="1306" spans="1:68" ht="14.25" customHeight="1">
      <c r="A1306" s="12">
        <v>649</v>
      </c>
      <c r="B1306" s="14">
        <v>449</v>
      </c>
      <c r="C1306" s="13" t="s">
        <v>30</v>
      </c>
      <c r="D1306" s="13" t="s">
        <v>57</v>
      </c>
      <c r="E1306" s="13" t="s">
        <v>53</v>
      </c>
      <c r="F1306" s="11">
        <v>-42.6</v>
      </c>
      <c r="G1306" s="11">
        <v>-35.9</v>
      </c>
      <c r="H1306" s="11">
        <v>-22.2</v>
      </c>
      <c r="I1306" s="11">
        <v>-7.2</v>
      </c>
      <c r="J1306" s="11">
        <v>5.8</v>
      </c>
      <c r="K1306" s="11">
        <v>15.4</v>
      </c>
      <c r="L1306" s="11">
        <v>18.7</v>
      </c>
      <c r="M1306" s="11">
        <v>14.9</v>
      </c>
      <c r="N1306" s="11">
        <v>6.2</v>
      </c>
      <c r="O1306" s="11">
        <v>-8</v>
      </c>
      <c r="P1306" s="11">
        <v>-28.3</v>
      </c>
      <c r="Q1306" s="11">
        <v>-39.5</v>
      </c>
      <c r="R1306" s="10">
        <v>-10.199999999999999</v>
      </c>
      <c r="S1306" s="12">
        <v>449</v>
      </c>
      <c r="T1306" s="8" t="s">
        <v>53</v>
      </c>
      <c r="U1306" s="11">
        <v>-59</v>
      </c>
      <c r="V1306" s="11">
        <v>-57</v>
      </c>
      <c r="W1306" s="11">
        <v>-57</v>
      </c>
      <c r="X1306" s="11">
        <v>-54</v>
      </c>
      <c r="Y1306" s="11">
        <v>-48</v>
      </c>
      <c r="Z1306" s="11">
        <v>-64</v>
      </c>
      <c r="AA1306" s="11">
        <v>8.9</v>
      </c>
      <c r="AB1306" s="11">
        <v>216</v>
      </c>
      <c r="AC1306" s="11">
        <v>-25.3</v>
      </c>
      <c r="AD1306" s="11">
        <v>256</v>
      </c>
      <c r="AE1306" s="11">
        <v>-20.6</v>
      </c>
      <c r="AF1306" s="11">
        <v>269</v>
      </c>
      <c r="AG1306" s="11">
        <v>-19.2</v>
      </c>
      <c r="AH1306" s="11">
        <v>73</v>
      </c>
      <c r="AI1306" s="11">
        <v>72</v>
      </c>
      <c r="AJ1306" s="11">
        <v>48</v>
      </c>
      <c r="AK1306" s="11" t="s">
        <v>56</v>
      </c>
      <c r="AL1306" s="11">
        <v>2.6</v>
      </c>
      <c r="AM1306" s="10">
        <v>1.9</v>
      </c>
      <c r="AN1306" s="9">
        <v>449</v>
      </c>
      <c r="AO1306" s="8" t="s">
        <v>55</v>
      </c>
      <c r="AP1306" s="8">
        <v>995</v>
      </c>
      <c r="AQ1306" s="8">
        <v>22.8</v>
      </c>
      <c r="AR1306" s="8">
        <v>26.9</v>
      </c>
      <c r="AS1306" s="8">
        <v>25.2</v>
      </c>
      <c r="AT1306" s="8">
        <v>38</v>
      </c>
      <c r="AU1306" s="8">
        <v>13.5</v>
      </c>
      <c r="AV1306" s="8">
        <v>60</v>
      </c>
      <c r="AW1306" s="8">
        <v>57</v>
      </c>
      <c r="AX1306" s="8">
        <v>186</v>
      </c>
      <c r="AY1306" s="8">
        <v>78</v>
      </c>
      <c r="AZ1306" s="8" t="s">
        <v>54</v>
      </c>
      <c r="BA1306" s="7">
        <v>0</v>
      </c>
      <c r="BB1306" s="9">
        <v>411</v>
      </c>
      <c r="BC1306" s="8" t="s">
        <v>53</v>
      </c>
      <c r="BD1306" s="8">
        <v>0.1</v>
      </c>
      <c r="BE1306" s="8">
        <v>0.3</v>
      </c>
      <c r="BF1306" s="8">
        <v>0.9</v>
      </c>
      <c r="BG1306" s="8">
        <v>2.5</v>
      </c>
      <c r="BH1306" s="8">
        <v>5</v>
      </c>
      <c r="BI1306" s="8">
        <v>9.4</v>
      </c>
      <c r="BJ1306" s="8">
        <v>12.6</v>
      </c>
      <c r="BK1306" s="8">
        <v>11.3</v>
      </c>
      <c r="BL1306" s="8">
        <v>6.6</v>
      </c>
      <c r="BM1306" s="8">
        <v>2.9</v>
      </c>
      <c r="BN1306" s="8">
        <v>0.6</v>
      </c>
      <c r="BO1306" s="8">
        <v>0.2</v>
      </c>
      <c r="BP1306" s="7">
        <v>4.4000000000000004</v>
      </c>
    </row>
    <row r="1307" spans="1:68" ht="14.25" customHeight="1">
      <c r="A1307" s="12">
        <v>650</v>
      </c>
      <c r="B1307" s="14">
        <v>653</v>
      </c>
      <c r="C1307" s="13" t="s">
        <v>52</v>
      </c>
      <c r="D1307" s="13" t="s">
        <v>51</v>
      </c>
      <c r="E1307" s="13" t="s">
        <v>42</v>
      </c>
      <c r="F1307" s="11">
        <v>3.9</v>
      </c>
      <c r="G1307" s="11">
        <v>4.2</v>
      </c>
      <c r="H1307" s="11">
        <v>6</v>
      </c>
      <c r="I1307" s="11">
        <v>10.8</v>
      </c>
      <c r="J1307" s="11">
        <v>15.6</v>
      </c>
      <c r="K1307" s="11">
        <v>20.2</v>
      </c>
      <c r="L1307" s="11">
        <v>23.2</v>
      </c>
      <c r="M1307" s="11">
        <v>23</v>
      </c>
      <c r="N1307" s="11">
        <v>19</v>
      </c>
      <c r="O1307" s="11">
        <v>13.6</v>
      </c>
      <c r="P1307" s="11">
        <v>9.5</v>
      </c>
      <c r="Q1307" s="11">
        <v>6.3</v>
      </c>
      <c r="R1307" s="10">
        <v>12.9</v>
      </c>
      <c r="S1307" s="12">
        <v>642</v>
      </c>
      <c r="T1307" s="8" t="s">
        <v>42</v>
      </c>
      <c r="U1307" s="11">
        <v>-10</v>
      </c>
      <c r="V1307" s="11">
        <v>-8</v>
      </c>
      <c r="W1307" s="11">
        <v>-7</v>
      </c>
      <c r="X1307" s="11">
        <v>-6</v>
      </c>
      <c r="Y1307" s="11">
        <v>1</v>
      </c>
      <c r="Z1307" s="11">
        <v>-15</v>
      </c>
      <c r="AA1307" s="11" t="s">
        <v>49</v>
      </c>
      <c r="AB1307" s="11">
        <v>0</v>
      </c>
      <c r="AC1307" s="11" t="s">
        <v>50</v>
      </c>
      <c r="AD1307" s="11">
        <v>119</v>
      </c>
      <c r="AE1307" s="11">
        <v>5.0999999999999996</v>
      </c>
      <c r="AF1307" s="11">
        <v>149</v>
      </c>
      <c r="AG1307" s="11">
        <v>5.9</v>
      </c>
      <c r="AH1307" s="11" t="s">
        <v>49</v>
      </c>
      <c r="AI1307" s="11" t="s">
        <v>49</v>
      </c>
      <c r="AJ1307" s="11">
        <v>355</v>
      </c>
      <c r="AK1307" s="11" t="s">
        <v>48</v>
      </c>
      <c r="AL1307" s="11" t="s">
        <v>44</v>
      </c>
      <c r="AM1307" s="10" t="s">
        <v>44</v>
      </c>
      <c r="AN1307" s="9">
        <v>643</v>
      </c>
      <c r="AO1307" s="8" t="s">
        <v>47</v>
      </c>
      <c r="AP1307" s="8">
        <v>1010</v>
      </c>
      <c r="AQ1307" s="8">
        <v>31</v>
      </c>
      <c r="AR1307" s="8">
        <v>26</v>
      </c>
      <c r="AS1307" s="8">
        <v>27.3</v>
      </c>
      <c r="AT1307" s="8">
        <v>37</v>
      </c>
      <c r="AU1307" s="8" t="s">
        <v>46</v>
      </c>
      <c r="AV1307" s="8" t="s">
        <v>45</v>
      </c>
      <c r="AW1307" s="8" t="s">
        <v>44</v>
      </c>
      <c r="AX1307" s="8" t="s">
        <v>44</v>
      </c>
      <c r="AY1307" s="8">
        <v>189</v>
      </c>
      <c r="AZ1307" s="8" t="s">
        <v>43</v>
      </c>
      <c r="BA1307" s="7">
        <v>1.1000000000000001</v>
      </c>
      <c r="BB1307" s="9"/>
      <c r="BC1307" s="8" t="s">
        <v>42</v>
      </c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7"/>
    </row>
    <row r="1308" spans="1:68" ht="14.25" customHeight="1">
      <c r="A1308" s="12">
        <v>651</v>
      </c>
      <c r="B1308" s="14">
        <v>51</v>
      </c>
      <c r="C1308" s="13" t="s">
        <v>30</v>
      </c>
      <c r="D1308" s="13" t="s">
        <v>41</v>
      </c>
      <c r="E1308" s="13" t="s">
        <v>36</v>
      </c>
      <c r="F1308" s="11">
        <v>-15.5</v>
      </c>
      <c r="G1308" s="11">
        <v>-13.7</v>
      </c>
      <c r="H1308" s="11">
        <v>-7.1</v>
      </c>
      <c r="I1308" s="11">
        <v>2.9</v>
      </c>
      <c r="J1308" s="11">
        <v>11.2</v>
      </c>
      <c r="K1308" s="11">
        <v>15.1</v>
      </c>
      <c r="L1308" s="11">
        <v>17.100000000000001</v>
      </c>
      <c r="M1308" s="11">
        <v>14.5</v>
      </c>
      <c r="N1308" s="11">
        <v>9.1999999999999993</v>
      </c>
      <c r="O1308" s="11">
        <v>0.8</v>
      </c>
      <c r="P1308" s="11">
        <v>-6.1</v>
      </c>
      <c r="Q1308" s="11">
        <v>-11.7</v>
      </c>
      <c r="R1308" s="10">
        <v>1.5</v>
      </c>
      <c r="S1308" s="12">
        <v>51</v>
      </c>
      <c r="T1308" s="8" t="s">
        <v>40</v>
      </c>
      <c r="U1308" s="11">
        <v>-44</v>
      </c>
      <c r="V1308" s="11">
        <v>-40</v>
      </c>
      <c r="W1308" s="11">
        <v>-41</v>
      </c>
      <c r="X1308" s="11">
        <v>-37</v>
      </c>
      <c r="Y1308" s="11">
        <v>-20</v>
      </c>
      <c r="Z1308" s="11">
        <v>-51</v>
      </c>
      <c r="AA1308" s="11">
        <v>8.1999999999999993</v>
      </c>
      <c r="AB1308" s="11">
        <v>169</v>
      </c>
      <c r="AC1308" s="11">
        <v>-9.4</v>
      </c>
      <c r="AD1308" s="11">
        <v>226</v>
      </c>
      <c r="AE1308" s="11">
        <v>-6</v>
      </c>
      <c r="AF1308" s="11">
        <v>243</v>
      </c>
      <c r="AG1308" s="11">
        <v>-5</v>
      </c>
      <c r="AH1308" s="11">
        <v>82</v>
      </c>
      <c r="AI1308" s="11">
        <v>82</v>
      </c>
      <c r="AJ1308" s="11">
        <v>126</v>
      </c>
      <c r="AK1308" s="11" t="s">
        <v>39</v>
      </c>
      <c r="AL1308" s="11">
        <v>7.6</v>
      </c>
      <c r="AM1308" s="10">
        <v>4.5999999999999996</v>
      </c>
      <c r="AN1308" s="9">
        <v>51</v>
      </c>
      <c r="AO1308" s="8" t="s">
        <v>38</v>
      </c>
      <c r="AP1308" s="8">
        <v>1000</v>
      </c>
      <c r="AQ1308" s="8">
        <v>22.5</v>
      </c>
      <c r="AR1308" s="8">
        <v>26.6</v>
      </c>
      <c r="AS1308" s="8">
        <v>24.9</v>
      </c>
      <c r="AT1308" s="8">
        <v>38</v>
      </c>
      <c r="AU1308" s="8">
        <v>12.8</v>
      </c>
      <c r="AV1308" s="8">
        <v>70</v>
      </c>
      <c r="AW1308" s="8">
        <v>51</v>
      </c>
      <c r="AX1308" s="8">
        <v>329</v>
      </c>
      <c r="AY1308" s="8">
        <v>63</v>
      </c>
      <c r="AZ1308" s="8" t="s">
        <v>37</v>
      </c>
      <c r="BA1308" s="7">
        <v>0</v>
      </c>
      <c r="BB1308" s="9">
        <v>37</v>
      </c>
      <c r="BC1308" s="8" t="s">
        <v>36</v>
      </c>
      <c r="BD1308" s="8">
        <v>2</v>
      </c>
      <c r="BE1308" s="8">
        <v>2</v>
      </c>
      <c r="BF1308" s="8">
        <v>3.1</v>
      </c>
      <c r="BG1308" s="8">
        <v>5.9</v>
      </c>
      <c r="BH1308" s="8">
        <v>8.5</v>
      </c>
      <c r="BI1308" s="8">
        <v>11.9</v>
      </c>
      <c r="BJ1308" s="8">
        <v>14.6</v>
      </c>
      <c r="BK1308" s="8">
        <v>13</v>
      </c>
      <c r="BL1308" s="8">
        <v>9.4</v>
      </c>
      <c r="BM1308" s="8">
        <v>6</v>
      </c>
      <c r="BN1308" s="8">
        <v>3.9</v>
      </c>
      <c r="BO1308" s="8">
        <v>2.6</v>
      </c>
      <c r="BP1308" s="7">
        <v>6.9</v>
      </c>
    </row>
    <row r="1309" spans="1:68" ht="14.25" customHeight="1">
      <c r="A1309" s="12">
        <v>652</v>
      </c>
      <c r="B1309" s="14">
        <v>457</v>
      </c>
      <c r="C1309" s="13" t="s">
        <v>30</v>
      </c>
      <c r="D1309" s="13" t="s">
        <v>35</v>
      </c>
      <c r="E1309" s="13" t="s">
        <v>31</v>
      </c>
      <c r="F1309" s="11">
        <v>-11.9</v>
      </c>
      <c r="G1309" s="11">
        <v>-10.7</v>
      </c>
      <c r="H1309" s="11">
        <v>-5.0999999999999996</v>
      </c>
      <c r="I1309" s="11">
        <v>3.7</v>
      </c>
      <c r="J1309" s="11">
        <v>10.9</v>
      </c>
      <c r="K1309" s="11">
        <v>15.7</v>
      </c>
      <c r="L1309" s="11">
        <v>17.600000000000001</v>
      </c>
      <c r="M1309" s="11">
        <v>16</v>
      </c>
      <c r="N1309" s="11">
        <v>10</v>
      </c>
      <c r="O1309" s="11">
        <v>3.4</v>
      </c>
      <c r="P1309" s="11">
        <v>-2.7</v>
      </c>
      <c r="Q1309" s="11">
        <v>-8.1</v>
      </c>
      <c r="R1309" s="10">
        <v>3.2</v>
      </c>
      <c r="S1309" s="12">
        <v>457</v>
      </c>
      <c r="T1309" s="8" t="s">
        <v>31</v>
      </c>
      <c r="U1309" s="11">
        <v>-37</v>
      </c>
      <c r="V1309" s="11">
        <v>-34</v>
      </c>
      <c r="W1309" s="11">
        <v>-34</v>
      </c>
      <c r="X1309" s="11">
        <v>-31</v>
      </c>
      <c r="Y1309" s="11">
        <v>-17</v>
      </c>
      <c r="Z1309" s="11">
        <v>-46</v>
      </c>
      <c r="AA1309" s="11">
        <v>8.3000000000000007</v>
      </c>
      <c r="AB1309" s="11">
        <v>152</v>
      </c>
      <c r="AC1309" s="11">
        <v>-7.8</v>
      </c>
      <c r="AD1309" s="11">
        <v>221</v>
      </c>
      <c r="AE1309" s="11">
        <v>-4</v>
      </c>
      <c r="AF1309" s="11">
        <v>239</v>
      </c>
      <c r="AG1309" s="11">
        <v>-2.8</v>
      </c>
      <c r="AH1309" s="11">
        <v>83</v>
      </c>
      <c r="AI1309" s="11">
        <v>82</v>
      </c>
      <c r="AJ1309" s="11">
        <v>174</v>
      </c>
      <c r="AK1309" s="11" t="s">
        <v>34</v>
      </c>
      <c r="AL1309" s="11">
        <v>5.5</v>
      </c>
      <c r="AM1309" s="10">
        <v>4.3</v>
      </c>
      <c r="AN1309" s="9">
        <v>457</v>
      </c>
      <c r="AO1309" s="8" t="s">
        <v>33</v>
      </c>
      <c r="AP1309" s="8">
        <v>1000</v>
      </c>
      <c r="AQ1309" s="8">
        <v>20.8</v>
      </c>
      <c r="AR1309" s="8">
        <v>25</v>
      </c>
      <c r="AS1309" s="8">
        <v>23.2</v>
      </c>
      <c r="AT1309" s="8">
        <v>37</v>
      </c>
      <c r="AU1309" s="8">
        <v>10.8</v>
      </c>
      <c r="AV1309" s="8">
        <v>74</v>
      </c>
      <c r="AW1309" s="8">
        <v>58</v>
      </c>
      <c r="AX1309" s="8">
        <v>404</v>
      </c>
      <c r="AY1309" s="8">
        <v>76</v>
      </c>
      <c r="AZ1309" s="8" t="s">
        <v>32</v>
      </c>
      <c r="BA1309" s="7">
        <v>3.9</v>
      </c>
      <c r="BB1309" s="9">
        <v>419</v>
      </c>
      <c r="BC1309" s="8" t="s">
        <v>31</v>
      </c>
      <c r="BD1309" s="8">
        <v>2.5</v>
      </c>
      <c r="BE1309" s="8">
        <v>2.6</v>
      </c>
      <c r="BF1309" s="8">
        <v>3.6</v>
      </c>
      <c r="BG1309" s="8">
        <v>5.9</v>
      </c>
      <c r="BH1309" s="8">
        <v>8.8000000000000007</v>
      </c>
      <c r="BI1309" s="8">
        <v>12.3</v>
      </c>
      <c r="BJ1309" s="8">
        <v>14.8</v>
      </c>
      <c r="BK1309" s="8">
        <v>14</v>
      </c>
      <c r="BL1309" s="8">
        <v>10.1</v>
      </c>
      <c r="BM1309" s="8">
        <v>6.8</v>
      </c>
      <c r="BN1309" s="8">
        <v>4.5999999999999996</v>
      </c>
      <c r="BO1309" s="8">
        <v>3.3</v>
      </c>
      <c r="BP1309" s="7">
        <v>7.4</v>
      </c>
    </row>
    <row r="1310" spans="1:68" ht="14.25" customHeight="1">
      <c r="A1310" s="12">
        <v>653</v>
      </c>
      <c r="B1310" s="14">
        <v>194</v>
      </c>
      <c r="C1310" s="13" t="s">
        <v>30</v>
      </c>
      <c r="D1310" s="13" t="s">
        <v>29</v>
      </c>
      <c r="E1310" s="13" t="s">
        <v>24</v>
      </c>
      <c r="F1310" s="11">
        <v>-23.6</v>
      </c>
      <c r="G1310" s="11">
        <v>-21.5</v>
      </c>
      <c r="H1310" s="11">
        <v>-12.9</v>
      </c>
      <c r="I1310" s="11">
        <v>-2.7</v>
      </c>
      <c r="J1310" s="11">
        <v>5.0999999999999996</v>
      </c>
      <c r="K1310" s="11">
        <v>14.3</v>
      </c>
      <c r="L1310" s="11">
        <v>18.2</v>
      </c>
      <c r="M1310" s="11">
        <v>14</v>
      </c>
      <c r="N1310" s="11">
        <v>7.6</v>
      </c>
      <c r="O1310" s="11">
        <v>-1.8</v>
      </c>
      <c r="P1310" s="11">
        <v>-14.7</v>
      </c>
      <c r="Q1310" s="11">
        <v>-22.3</v>
      </c>
      <c r="R1310" s="10">
        <v>-3.4</v>
      </c>
      <c r="S1310" s="12">
        <v>194</v>
      </c>
      <c r="T1310" s="8" t="s">
        <v>28</v>
      </c>
      <c r="U1310" s="11">
        <v>-53</v>
      </c>
      <c r="V1310" s="11">
        <v>-50</v>
      </c>
      <c r="W1310" s="11">
        <v>-50</v>
      </c>
      <c r="X1310" s="11">
        <v>-47</v>
      </c>
      <c r="Y1310" s="11">
        <v>-29</v>
      </c>
      <c r="Z1310" s="11">
        <v>-56</v>
      </c>
      <c r="AA1310" s="11">
        <v>9.9</v>
      </c>
      <c r="AB1310" s="11">
        <v>198</v>
      </c>
      <c r="AC1310" s="11">
        <v>-14.9</v>
      </c>
      <c r="AD1310" s="11">
        <v>254</v>
      </c>
      <c r="AE1310" s="11">
        <v>-10.8</v>
      </c>
      <c r="AF1310" s="11">
        <v>270</v>
      </c>
      <c r="AG1310" s="11">
        <v>-9.6</v>
      </c>
      <c r="AH1310" s="11">
        <v>79</v>
      </c>
      <c r="AI1310" s="11">
        <v>78</v>
      </c>
      <c r="AJ1310" s="11">
        <v>170</v>
      </c>
      <c r="AK1310" s="11" t="s">
        <v>27</v>
      </c>
      <c r="AL1310" s="11">
        <v>4.7</v>
      </c>
      <c r="AM1310" s="10">
        <v>3.6</v>
      </c>
      <c r="AN1310" s="9">
        <v>194</v>
      </c>
      <c r="AO1310" s="8" t="s">
        <v>26</v>
      </c>
      <c r="AP1310" s="8">
        <v>1000</v>
      </c>
      <c r="AQ1310" s="8">
        <v>21.7</v>
      </c>
      <c r="AR1310" s="8">
        <v>25.9</v>
      </c>
      <c r="AS1310" s="8">
        <v>24.1</v>
      </c>
      <c r="AT1310" s="8">
        <v>36</v>
      </c>
      <c r="AU1310" s="8">
        <v>12.1</v>
      </c>
      <c r="AV1310" s="8">
        <v>71</v>
      </c>
      <c r="AW1310" s="8">
        <v>56</v>
      </c>
      <c r="AX1310" s="8">
        <v>443</v>
      </c>
      <c r="AY1310" s="8">
        <v>77</v>
      </c>
      <c r="AZ1310" s="8" t="s">
        <v>25</v>
      </c>
      <c r="BA1310" s="7">
        <v>0</v>
      </c>
      <c r="BB1310" s="9">
        <v>170</v>
      </c>
      <c r="BC1310" s="8" t="s">
        <v>24</v>
      </c>
      <c r="BD1310" s="8">
        <v>1.1000000000000001</v>
      </c>
      <c r="BE1310" s="8">
        <v>1.2</v>
      </c>
      <c r="BF1310" s="8">
        <v>2</v>
      </c>
      <c r="BG1310" s="8">
        <v>3.6</v>
      </c>
      <c r="BH1310" s="8">
        <v>5.9</v>
      </c>
      <c r="BI1310" s="8">
        <v>10.6</v>
      </c>
      <c r="BJ1310" s="8">
        <v>14.5</v>
      </c>
      <c r="BK1310" s="8">
        <v>12.6</v>
      </c>
      <c r="BL1310" s="8">
        <v>8.6</v>
      </c>
      <c r="BM1310" s="8">
        <v>4.7</v>
      </c>
      <c r="BN1310" s="8">
        <v>2.2000000000000002</v>
      </c>
      <c r="BO1310" s="8">
        <v>1.3</v>
      </c>
      <c r="BP1310" s="7">
        <v>5.7</v>
      </c>
    </row>
    <row r="1311" spans="1:68" ht="14.25" customHeight="1">
      <c r="AN1311" s="6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</row>
    <row r="1312" spans="1:68" ht="14.25" customHeight="1">
      <c r="AN1312" s="6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</row>
    <row r="1313" spans="40:53" s="2" customFormat="1" ht="14.25" customHeight="1">
      <c r="AN1313" s="6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</row>
    <row r="1314" spans="40:53" s="2" customFormat="1" ht="14.25" customHeight="1">
      <c r="AN1314" s="6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</row>
    <row r="1315" spans="40:53" s="2" customFormat="1" ht="14.25" customHeight="1">
      <c r="AN1315" s="6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</row>
    <row r="1316" spans="40:53" s="2" customFormat="1" ht="14.25" customHeight="1">
      <c r="AN1316" s="6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</row>
    <row r="1317" spans="40:53" s="2" customFormat="1" ht="14.25" customHeight="1">
      <c r="AN1317" s="6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</row>
    <row r="1318" spans="40:53" s="2" customFormat="1" ht="14.25" customHeight="1">
      <c r="AN1318" s="6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</row>
    <row r="1319" spans="40:53" s="2" customFormat="1" ht="14.25" customHeight="1">
      <c r="AN1319" s="6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</row>
    <row r="1320" spans="40:53" s="2" customFormat="1" ht="14.25" customHeight="1">
      <c r="AN1320" s="6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</row>
    <row r="1321" spans="40:53" s="2" customFormat="1" ht="14.25" customHeight="1">
      <c r="AN1321" s="6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</row>
  </sheetData>
  <autoFilter ref="A4:BP4">
    <sortState ref="A4:BP4">
      <sortCondition descending="1" ref="C4"/>
    </sortState>
  </autoFilter>
  <mergeCells count="30">
    <mergeCell ref="B1:R2"/>
    <mergeCell ref="Y2:Y3"/>
    <mergeCell ref="Z2:Z3"/>
    <mergeCell ref="AH2:AH3"/>
    <mergeCell ref="T1:AM1"/>
    <mergeCell ref="AM2:AM3"/>
    <mergeCell ref="AI2:AI3"/>
    <mergeCell ref="AJ2:AJ3"/>
    <mergeCell ref="AK2:AK3"/>
    <mergeCell ref="AL2:AL3"/>
    <mergeCell ref="T2:T3"/>
    <mergeCell ref="U2:V2"/>
    <mergeCell ref="W2:X2"/>
    <mergeCell ref="AA2:AA3"/>
    <mergeCell ref="AB2:AG2"/>
    <mergeCell ref="BC1:BP2"/>
    <mergeCell ref="AY2:AY3"/>
    <mergeCell ref="AZ2:AZ3"/>
    <mergeCell ref="BA2:BA3"/>
    <mergeCell ref="AO1:BA1"/>
    <mergeCell ref="AU2:AU3"/>
    <mergeCell ref="AV2:AV3"/>
    <mergeCell ref="AO2:AO3"/>
    <mergeCell ref="AW2:AW3"/>
    <mergeCell ref="AX2:AX3"/>
    <mergeCell ref="AP2:AP3"/>
    <mergeCell ref="AQ2:AQ3"/>
    <mergeCell ref="AR2:AR3"/>
    <mergeCell ref="AS2:AS3"/>
    <mergeCell ref="AT2:AT3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X170"/>
  <sheetViews>
    <sheetView showGridLines="0" showRowColHeaders="0" workbookViewId="0">
      <pane ySplit="1" topLeftCell="A2" activePane="bottomLeft" state="frozen"/>
      <selection pane="bottomLeft" activeCell="K1" sqref="K1"/>
    </sheetView>
  </sheetViews>
  <sheetFormatPr defaultRowHeight="14.5"/>
  <cols>
    <col min="1" max="2" width="2.453125" customWidth="1"/>
    <col min="3" max="3" width="1.7265625" customWidth="1"/>
    <col min="4" max="16" width="9.1796875" customWidth="1"/>
  </cols>
  <sheetData>
    <row r="1" spans="3:24" ht="21" customHeight="1" thickTop="1" thickBot="1">
      <c r="D1" s="204" t="s">
        <v>2612</v>
      </c>
      <c r="E1" s="278" t="s">
        <v>2682</v>
      </c>
      <c r="F1" s="278" t="s">
        <v>2662</v>
      </c>
      <c r="G1" s="278" t="s">
        <v>2603</v>
      </c>
      <c r="H1" s="278" t="s">
        <v>2604</v>
      </c>
      <c r="I1" s="278" t="s">
        <v>2613</v>
      </c>
      <c r="J1" s="323" t="s">
        <v>2607</v>
      </c>
      <c r="K1" s="278" t="s">
        <v>2614</v>
      </c>
      <c r="L1" s="278" t="s">
        <v>2608</v>
      </c>
      <c r="M1" s="519" t="s">
        <v>2605</v>
      </c>
      <c r="N1" s="520"/>
      <c r="O1" s="278" t="s">
        <v>2606</v>
      </c>
      <c r="P1" s="278" t="s">
        <v>2634</v>
      </c>
    </row>
    <row r="2" spans="3:24" ht="15" customHeight="1" thickTop="1">
      <c r="D2" s="706" t="s">
        <v>2684</v>
      </c>
      <c r="E2" s="697"/>
      <c r="F2" s="697"/>
      <c r="G2" s="697"/>
      <c r="H2" s="697"/>
      <c r="I2" s="697"/>
      <c r="J2" s="697"/>
      <c r="K2" s="697"/>
      <c r="L2" s="697"/>
      <c r="M2" s="697"/>
      <c r="N2" s="697"/>
      <c r="O2" s="697"/>
      <c r="P2" s="697"/>
    </row>
    <row r="3" spans="3:24" ht="15" customHeight="1" thickBot="1">
      <c r="D3" s="849"/>
      <c r="E3" s="698"/>
      <c r="F3" s="698"/>
      <c r="G3" s="698"/>
      <c r="H3" s="698"/>
      <c r="I3" s="698"/>
      <c r="J3" s="698"/>
      <c r="K3" s="698"/>
      <c r="L3" s="698"/>
      <c r="M3" s="698"/>
      <c r="N3" s="698"/>
      <c r="O3" s="698"/>
      <c r="P3" s="698"/>
    </row>
    <row r="4" spans="3:24" ht="12" customHeight="1" thickTop="1">
      <c r="D4" s="504" t="s">
        <v>0</v>
      </c>
      <c r="E4" s="712"/>
      <c r="F4" s="712"/>
      <c r="G4" s="712"/>
      <c r="H4" s="712"/>
      <c r="I4" s="712"/>
      <c r="J4" s="713"/>
      <c r="K4" s="477" t="s">
        <v>1</v>
      </c>
      <c r="L4" s="479"/>
      <c r="M4" s="477" t="s">
        <v>2</v>
      </c>
      <c r="N4" s="479"/>
      <c r="O4" s="478" t="s">
        <v>3</v>
      </c>
      <c r="P4" s="479"/>
    </row>
    <row r="5" spans="3:24" ht="12" customHeight="1">
      <c r="D5" s="714"/>
      <c r="E5" s="850"/>
      <c r="F5" s="850"/>
      <c r="G5" s="850"/>
      <c r="H5" s="850"/>
      <c r="I5" s="850"/>
      <c r="J5" s="716"/>
      <c r="K5" s="480"/>
      <c r="L5" s="482"/>
      <c r="M5" s="480"/>
      <c r="N5" s="482"/>
      <c r="O5" s="481"/>
      <c r="P5" s="482"/>
    </row>
    <row r="6" spans="3:24" ht="12" customHeight="1" thickBot="1">
      <c r="D6" s="717"/>
      <c r="E6" s="710"/>
      <c r="F6" s="710"/>
      <c r="G6" s="710"/>
      <c r="H6" s="710"/>
      <c r="I6" s="710"/>
      <c r="J6" s="711"/>
      <c r="K6" s="483"/>
      <c r="L6" s="485"/>
      <c r="M6" s="483"/>
      <c r="N6" s="485"/>
      <c r="O6" s="484"/>
      <c r="P6" s="485"/>
    </row>
    <row r="7" spans="3:24" s="280" customFormat="1" ht="20" customHeight="1" thickTop="1">
      <c r="D7" s="890" t="s">
        <v>2112</v>
      </c>
      <c r="E7" s="891"/>
      <c r="F7" s="891"/>
      <c r="G7" s="891"/>
      <c r="H7" s="891"/>
      <c r="I7" s="891"/>
      <c r="J7" s="892"/>
      <c r="K7" s="437">
        <v>1</v>
      </c>
      <c r="L7" s="344" t="s">
        <v>11</v>
      </c>
      <c r="M7" s="351">
        <v>3500</v>
      </c>
      <c r="N7" s="368" t="str">
        <f>IF('из города'!$AG$9=3,"Дол.",IF('из города'!$AG$9=1,"Руб.","Грн."))</f>
        <v>Грн.</v>
      </c>
      <c r="O7" s="349">
        <f t="shared" ref="O7:O14" si="0">K7*M7</f>
        <v>3500</v>
      </c>
      <c r="P7" s="341" t="str">
        <f>IF('из города'!$AG$9=3,"Дол.",IF('из города'!$AG$9=1,"Руб.","Грн."))</f>
        <v>Грн.</v>
      </c>
      <c r="S7" s="113"/>
      <c r="T7" s="113"/>
      <c r="U7" s="113"/>
      <c r="V7" s="113" t="s">
        <v>2127</v>
      </c>
      <c r="W7" s="113">
        <f>K11+K14</f>
        <v>2</v>
      </c>
      <c r="X7" s="113">
        <f>O11+O14</f>
        <v>200</v>
      </c>
    </row>
    <row r="8" spans="3:24" s="280" customFormat="1" ht="20" customHeight="1">
      <c r="D8" s="884" t="s">
        <v>4</v>
      </c>
      <c r="E8" s="885"/>
      <c r="F8" s="885"/>
      <c r="G8" s="885"/>
      <c r="H8" s="885"/>
      <c r="I8" s="885"/>
      <c r="J8" s="886"/>
      <c r="K8" s="353">
        <v>1</v>
      </c>
      <c r="L8" s="345" t="s">
        <v>11</v>
      </c>
      <c r="M8" s="352">
        <v>3500</v>
      </c>
      <c r="N8" s="369" t="str">
        <f>IF('из города'!$AG$9=3,"Дол.",IF('из города'!$AG$9=1,"Руб.","Грн."))</f>
        <v>Грн.</v>
      </c>
      <c r="O8" s="343">
        <f t="shared" si="0"/>
        <v>3500</v>
      </c>
      <c r="P8" s="342" t="str">
        <f>IF('из города'!$AG$9=3,"Дол.",IF('из города'!$AG$9=1,"Руб.","Грн."))</f>
        <v>Грн.</v>
      </c>
      <c r="S8" s="113"/>
      <c r="T8" s="113"/>
      <c r="U8" s="113"/>
      <c r="V8" s="113" t="s">
        <v>2129</v>
      </c>
      <c r="W8" s="113">
        <f>K10</f>
        <v>1</v>
      </c>
      <c r="X8" s="113">
        <f>O10</f>
        <v>300</v>
      </c>
    </row>
    <row r="9" spans="3:24" s="389" customFormat="1" ht="20" customHeight="1">
      <c r="D9" s="884" t="s">
        <v>2754</v>
      </c>
      <c r="E9" s="885"/>
      <c r="F9" s="885"/>
      <c r="G9" s="885"/>
      <c r="H9" s="885"/>
      <c r="I9" s="885"/>
      <c r="J9" s="886"/>
      <c r="K9" s="353">
        <v>1</v>
      </c>
      <c r="L9" s="345" t="s">
        <v>11</v>
      </c>
      <c r="M9" s="352">
        <v>3500</v>
      </c>
      <c r="N9" s="369" t="str">
        <f>IF('из города'!$AG$9=3,"Дол.",IF('из города'!$AG$9=1,"Руб.","Грн."))</f>
        <v>Грн.</v>
      </c>
      <c r="O9" s="343">
        <f>K9*M9</f>
        <v>3500</v>
      </c>
      <c r="P9" s="342" t="str">
        <f>IF('из города'!$AG$9=3,"Дол.",IF('из города'!$AG$9=1,"Руб.","Грн."))</f>
        <v>Грн.</v>
      </c>
      <c r="S9" s="113" t="s">
        <v>2124</v>
      </c>
      <c r="T9" s="113">
        <f>K7</f>
        <v>1</v>
      </c>
      <c r="U9" s="113">
        <f>O7</f>
        <v>3500</v>
      </c>
      <c r="V9" s="113" t="s">
        <v>2132</v>
      </c>
      <c r="W9" s="113">
        <f>K12</f>
        <v>1</v>
      </c>
      <c r="X9" s="113">
        <f>O12</f>
        <v>350</v>
      </c>
    </row>
    <row r="10" spans="3:24" s="280" customFormat="1" ht="20" customHeight="1">
      <c r="D10" s="884" t="s">
        <v>2686</v>
      </c>
      <c r="E10" s="885"/>
      <c r="F10" s="885"/>
      <c r="G10" s="885"/>
      <c r="H10" s="885"/>
      <c r="I10" s="885"/>
      <c r="J10" s="886"/>
      <c r="K10" s="353">
        <v>1</v>
      </c>
      <c r="L10" s="345" t="s">
        <v>11</v>
      </c>
      <c r="M10" s="352">
        <v>300</v>
      </c>
      <c r="N10" s="369" t="str">
        <f>IF('из города'!$AG$9=3,"Дол.",IF('из города'!$AG$9=1,"Руб.","Грн."))</f>
        <v>Грн.</v>
      </c>
      <c r="O10" s="343">
        <f t="shared" si="0"/>
        <v>300</v>
      </c>
      <c r="P10" s="342" t="str">
        <f>IF('из города'!$AG$9=3,"Дол.",IF('из города'!$AG$9=1,"Руб.","Грн."))</f>
        <v>Грн.</v>
      </c>
      <c r="S10" s="113" t="s">
        <v>2125</v>
      </c>
      <c r="T10" s="113">
        <f>K8</f>
        <v>1</v>
      </c>
      <c r="U10" s="113">
        <f>O8</f>
        <v>3500</v>
      </c>
      <c r="V10" s="113" t="s">
        <v>2137</v>
      </c>
      <c r="W10" s="113">
        <f>K13</f>
        <v>1</v>
      </c>
      <c r="X10" s="113">
        <f>O13</f>
        <v>60</v>
      </c>
    </row>
    <row r="11" spans="3:24" s="280" customFormat="1" ht="20" customHeight="1">
      <c r="D11" s="884" t="s">
        <v>2111</v>
      </c>
      <c r="E11" s="885"/>
      <c r="F11" s="885"/>
      <c r="G11" s="885"/>
      <c r="H11" s="885"/>
      <c r="I11" s="885"/>
      <c r="J11" s="886"/>
      <c r="K11" s="353">
        <v>1</v>
      </c>
      <c r="L11" s="345" t="s">
        <v>12</v>
      </c>
      <c r="M11" s="352">
        <v>140</v>
      </c>
      <c r="N11" s="369" t="str">
        <f>IF('из города'!$AG$9=3,"Дол.",IF('из города'!$AG$9=1,"Руб.","Грн."))</f>
        <v>Грн.</v>
      </c>
      <c r="O11" s="343">
        <f t="shared" si="0"/>
        <v>140</v>
      </c>
      <c r="P11" s="342" t="str">
        <f>IF('из города'!$AG$9=3,"Дол.",IF('из города'!$AG$9=1,"Руб.","Грн."))</f>
        <v>Грн.</v>
      </c>
    </row>
    <row r="12" spans="3:24" s="280" customFormat="1" ht="20" customHeight="1">
      <c r="D12" s="884" t="s">
        <v>2768</v>
      </c>
      <c r="E12" s="885"/>
      <c r="F12" s="885"/>
      <c r="G12" s="885"/>
      <c r="H12" s="885"/>
      <c r="I12" s="885"/>
      <c r="J12" s="886"/>
      <c r="K12" s="353">
        <v>1</v>
      </c>
      <c r="L12" s="345" t="s">
        <v>20</v>
      </c>
      <c r="M12" s="352">
        <v>350</v>
      </c>
      <c r="N12" s="369" t="str">
        <f>IF('из города'!$AG$9=3,"Дол.",IF('из города'!$AG$9=1,"Руб.","Грн."))</f>
        <v>Грн.</v>
      </c>
      <c r="O12" s="343">
        <f t="shared" si="0"/>
        <v>350</v>
      </c>
      <c r="P12" s="342" t="str">
        <f>IF('из города'!$AG$9=3,"Дол.",IF('из города'!$AG$9=1,"Руб.","Грн."))</f>
        <v>Грн.</v>
      </c>
    </row>
    <row r="13" spans="3:24" s="280" customFormat="1" ht="20" customHeight="1">
      <c r="D13" s="887" t="s">
        <v>2116</v>
      </c>
      <c r="E13" s="888"/>
      <c r="F13" s="888"/>
      <c r="G13" s="888"/>
      <c r="H13" s="888"/>
      <c r="I13" s="888"/>
      <c r="J13" s="889"/>
      <c r="K13" s="353">
        <v>1</v>
      </c>
      <c r="L13" s="345" t="s">
        <v>21</v>
      </c>
      <c r="M13" s="352">
        <v>60</v>
      </c>
      <c r="N13" s="369" t="str">
        <f>IF('из города'!$AG$9=3,"Дол.",IF('из города'!$AG$9=1,"Руб.","Грн."))</f>
        <v>Грн.</v>
      </c>
      <c r="O13" s="343">
        <f t="shared" si="0"/>
        <v>60</v>
      </c>
      <c r="P13" s="342" t="str">
        <f>IF('из города'!$AG$9=3,"Дол.",IF('из города'!$AG$9=1,"Руб.","Грн."))</f>
        <v>Грн.</v>
      </c>
    </row>
    <row r="14" spans="3:24" s="280" customFormat="1" ht="20" customHeight="1">
      <c r="D14" s="887" t="s">
        <v>2769</v>
      </c>
      <c r="E14" s="888"/>
      <c r="F14" s="888"/>
      <c r="G14" s="888"/>
      <c r="H14" s="888"/>
      <c r="I14" s="888"/>
      <c r="J14" s="889"/>
      <c r="K14" s="353">
        <v>1</v>
      </c>
      <c r="L14" s="345" t="s">
        <v>12</v>
      </c>
      <c r="M14" s="352">
        <v>60</v>
      </c>
      <c r="N14" s="369" t="str">
        <f>IF('из города'!$AG$9=3,"Дол.",IF('из города'!$AG$9=1,"Руб.","Грн."))</f>
        <v>Грн.</v>
      </c>
      <c r="O14" s="343">
        <f t="shared" si="0"/>
        <v>60</v>
      </c>
      <c r="P14" s="342" t="str">
        <f>IF('из города'!$AG$9=3,"Дол.",IF('из города'!$AG$9=1,"Руб.","Грн."))</f>
        <v>Грн.</v>
      </c>
    </row>
    <row r="15" spans="3:24" s="280" customFormat="1" ht="20" customHeight="1">
      <c r="C15" s="174"/>
      <c r="D15" s="887" t="s">
        <v>2759</v>
      </c>
      <c r="E15" s="888"/>
      <c r="F15" s="888"/>
      <c r="G15" s="888"/>
      <c r="H15" s="888"/>
      <c r="I15" s="888"/>
      <c r="J15" s="889"/>
      <c r="K15" s="353">
        <v>1</v>
      </c>
      <c r="L15" s="345" t="s">
        <v>2688</v>
      </c>
      <c r="M15" s="352">
        <v>7</v>
      </c>
      <c r="N15" s="369" t="str">
        <f>IF('из города'!$AG$9=3,"Дол.",IF('из города'!$AG$9=1,"Руб.","Грн."))</f>
        <v>Грн.</v>
      </c>
      <c r="O15" s="343">
        <f>K15*M15</f>
        <v>7</v>
      </c>
      <c r="P15" s="342" t="str">
        <f>IF('из города'!$AG$9=3,"Дол.",IF('из города'!$AG$9=1,"Руб.","Грн."))</f>
        <v>Грн.</v>
      </c>
    </row>
    <row r="16" spans="3:24" s="280" customFormat="1" ht="20" customHeight="1">
      <c r="D16" s="887" t="s">
        <v>2705</v>
      </c>
      <c r="E16" s="888"/>
      <c r="F16" s="888"/>
      <c r="G16" s="888"/>
      <c r="H16" s="888"/>
      <c r="I16" s="888"/>
      <c r="J16" s="889"/>
      <c r="K16" s="353">
        <v>1</v>
      </c>
      <c r="L16" s="345" t="s">
        <v>12</v>
      </c>
      <c r="M16" s="352">
        <v>100</v>
      </c>
      <c r="N16" s="348" t="str">
        <f>IF('из города'!$AG$9=3,"Дол.",IF('из города'!$AG$9=1,"Руб.","Грн."))</f>
        <v>Грн.</v>
      </c>
      <c r="O16" s="350">
        <f t="shared" ref="O16:O34" si="1">K16*M16</f>
        <v>100</v>
      </c>
      <c r="P16" s="342" t="str">
        <f>IF('из города'!$AG$9=3,"Дол.",IF('из города'!$AG$9=1,"Руб.","Грн."))</f>
        <v>Грн.</v>
      </c>
    </row>
    <row r="17" spans="4:16" s="280" customFormat="1" ht="20" customHeight="1">
      <c r="D17" s="893" t="s">
        <v>2114</v>
      </c>
      <c r="E17" s="894"/>
      <c r="F17" s="894"/>
      <c r="G17" s="894"/>
      <c r="H17" s="894"/>
      <c r="I17" s="894"/>
      <c r="J17" s="346"/>
      <c r="K17" s="353">
        <v>0</v>
      </c>
      <c r="L17" s="347" t="s">
        <v>23</v>
      </c>
      <c r="M17" s="352">
        <v>0</v>
      </c>
      <c r="N17" s="348" t="str">
        <f>IF('из города'!$AG$9=3,"Дол.",IF('из города'!$AG$9=1,"Руб.","Грн."))</f>
        <v>Грн.</v>
      </c>
      <c r="O17" s="350">
        <f t="shared" si="1"/>
        <v>0</v>
      </c>
      <c r="P17" s="342" t="str">
        <f>IF('из города'!$AG$9=3,"Дол.",IF('из города'!$AG$9=1,"Руб.","Грн."))</f>
        <v>Грн.</v>
      </c>
    </row>
    <row r="18" spans="4:16" s="280" customFormat="1" ht="20" customHeight="1">
      <c r="D18" s="893" t="s">
        <v>2114</v>
      </c>
      <c r="E18" s="894"/>
      <c r="F18" s="894"/>
      <c r="G18" s="894"/>
      <c r="H18" s="894"/>
      <c r="I18" s="894"/>
      <c r="J18" s="346"/>
      <c r="K18" s="353">
        <v>0</v>
      </c>
      <c r="L18" s="347" t="s">
        <v>23</v>
      </c>
      <c r="M18" s="352">
        <v>0</v>
      </c>
      <c r="N18" s="348" t="str">
        <f>IF('из города'!$AG$9=3,"Дол.",IF('из города'!$AG$9=1,"Руб.","Грн."))</f>
        <v>Грн.</v>
      </c>
      <c r="O18" s="350">
        <f t="shared" si="1"/>
        <v>0</v>
      </c>
      <c r="P18" s="342" t="str">
        <f>IF('из города'!$AG$9=3,"Дол.",IF('из города'!$AG$9=1,"Руб.","Грн."))</f>
        <v>Грн.</v>
      </c>
    </row>
    <row r="19" spans="4:16" s="280" customFormat="1" ht="20" customHeight="1">
      <c r="D19" s="893" t="s">
        <v>2114</v>
      </c>
      <c r="E19" s="894"/>
      <c r="F19" s="894"/>
      <c r="G19" s="894"/>
      <c r="H19" s="894"/>
      <c r="I19" s="894"/>
      <c r="J19" s="346"/>
      <c r="K19" s="353">
        <v>0</v>
      </c>
      <c r="L19" s="347" t="s">
        <v>23</v>
      </c>
      <c r="M19" s="352">
        <v>0</v>
      </c>
      <c r="N19" s="348" t="str">
        <f>IF('из города'!$AG$9=3,"Дол.",IF('из города'!$AG$9=1,"Руб.","Грн."))</f>
        <v>Грн.</v>
      </c>
      <c r="O19" s="350">
        <f t="shared" si="1"/>
        <v>0</v>
      </c>
      <c r="P19" s="342" t="str">
        <f>IF('из города'!$AG$9=3,"Дол.",IF('из города'!$AG$9=1,"Руб.","Грн."))</f>
        <v>Грн.</v>
      </c>
    </row>
    <row r="20" spans="4:16" s="280" customFormat="1" ht="20" customHeight="1">
      <c r="D20" s="893" t="s">
        <v>2114</v>
      </c>
      <c r="E20" s="894"/>
      <c r="F20" s="894"/>
      <c r="G20" s="894"/>
      <c r="H20" s="894"/>
      <c r="I20" s="894"/>
      <c r="J20" s="346"/>
      <c r="K20" s="353">
        <v>0</v>
      </c>
      <c r="L20" s="347" t="s">
        <v>23</v>
      </c>
      <c r="M20" s="352">
        <v>0</v>
      </c>
      <c r="N20" s="348" t="str">
        <f>IF('из города'!$AG$9=3,"Дол.",IF('из города'!$AG$9=1,"Руб.","Грн."))</f>
        <v>Грн.</v>
      </c>
      <c r="O20" s="350">
        <f t="shared" si="1"/>
        <v>0</v>
      </c>
      <c r="P20" s="342" t="str">
        <f>IF('из города'!$AG$9=3,"Дол.",IF('из города'!$AG$9=1,"Руб.","Грн."))</f>
        <v>Грн.</v>
      </c>
    </row>
    <row r="21" spans="4:16" s="280" customFormat="1" ht="20" customHeight="1">
      <c r="D21" s="893" t="s">
        <v>2114</v>
      </c>
      <c r="E21" s="894"/>
      <c r="F21" s="894"/>
      <c r="G21" s="894"/>
      <c r="H21" s="894"/>
      <c r="I21" s="894"/>
      <c r="J21" s="346"/>
      <c r="K21" s="353">
        <v>0</v>
      </c>
      <c r="L21" s="347" t="s">
        <v>23</v>
      </c>
      <c r="M21" s="352">
        <v>0</v>
      </c>
      <c r="N21" s="348" t="str">
        <f>IF('из города'!$AG$9=3,"Дол.",IF('из города'!$AG$9=1,"Руб.","Грн."))</f>
        <v>Грн.</v>
      </c>
      <c r="O21" s="350">
        <f t="shared" si="1"/>
        <v>0</v>
      </c>
      <c r="P21" s="342" t="str">
        <f>IF('из города'!$AG$9=3,"Дол.",IF('из города'!$AG$9=1,"Руб.","Грн."))</f>
        <v>Грн.</v>
      </c>
    </row>
    <row r="22" spans="4:16" s="280" customFormat="1" ht="20" customHeight="1">
      <c r="D22" s="893" t="s">
        <v>2114</v>
      </c>
      <c r="E22" s="894"/>
      <c r="F22" s="894"/>
      <c r="G22" s="894"/>
      <c r="H22" s="894"/>
      <c r="I22" s="894"/>
      <c r="J22" s="346"/>
      <c r="K22" s="353">
        <v>0</v>
      </c>
      <c r="L22" s="347" t="s">
        <v>23</v>
      </c>
      <c r="M22" s="352">
        <v>0</v>
      </c>
      <c r="N22" s="348" t="str">
        <f>IF('из города'!$AG$9=3,"Дол.",IF('из города'!$AG$9=1,"Руб.","Грн."))</f>
        <v>Грн.</v>
      </c>
      <c r="O22" s="350">
        <f t="shared" si="1"/>
        <v>0</v>
      </c>
      <c r="P22" s="342" t="str">
        <f>IF('из города'!$AG$9=3,"Дол.",IF('из города'!$AG$9=1,"Руб.","Грн."))</f>
        <v>Грн.</v>
      </c>
    </row>
    <row r="23" spans="4:16" s="280" customFormat="1" ht="20" customHeight="1">
      <c r="D23" s="893" t="s">
        <v>2114</v>
      </c>
      <c r="E23" s="894"/>
      <c r="F23" s="894"/>
      <c r="G23" s="894"/>
      <c r="H23" s="894"/>
      <c r="I23" s="894"/>
      <c r="J23" s="346"/>
      <c r="K23" s="353">
        <v>0</v>
      </c>
      <c r="L23" s="347" t="s">
        <v>23</v>
      </c>
      <c r="M23" s="352">
        <v>0</v>
      </c>
      <c r="N23" s="348" t="str">
        <f>IF('из города'!$AG$9=3,"Дол.",IF('из города'!$AG$9=1,"Руб.","Грн."))</f>
        <v>Грн.</v>
      </c>
      <c r="O23" s="350">
        <f t="shared" si="1"/>
        <v>0</v>
      </c>
      <c r="P23" s="342" t="str">
        <f>IF('из города'!$AG$9=3,"Дол.",IF('из города'!$AG$9=1,"Руб.","Грн."))</f>
        <v>Грн.</v>
      </c>
    </row>
    <row r="24" spans="4:16" s="280" customFormat="1" ht="20" customHeight="1">
      <c r="D24" s="677" t="s">
        <v>2675</v>
      </c>
      <c r="E24" s="643"/>
      <c r="F24" s="643"/>
      <c r="G24" s="643"/>
      <c r="H24" s="643"/>
      <c r="I24" s="643"/>
      <c r="J24" s="644"/>
      <c r="K24" s="338">
        <v>4</v>
      </c>
      <c r="L24" s="339" t="s">
        <v>2676</v>
      </c>
      <c r="M24" s="335">
        <v>7</v>
      </c>
      <c r="N24" s="336" t="str">
        <f>IF('из города'!$AG$9=3,"Дол.",IF('из города'!$AG$9=1,"Руб.","Грн."))</f>
        <v>Грн.</v>
      </c>
      <c r="O24" s="333">
        <f t="shared" si="1"/>
        <v>28</v>
      </c>
      <c r="P24" s="331" t="str">
        <f>IF('из города'!$AG$9=3,"Дол.",IF('из города'!$AG$9=1,"Руб.","Грн."))</f>
        <v>Грн.</v>
      </c>
    </row>
    <row r="25" spans="4:16" s="280" customFormat="1" ht="20" customHeight="1">
      <c r="D25" s="677" t="s">
        <v>2664</v>
      </c>
      <c r="E25" s="643"/>
      <c r="F25" s="643"/>
      <c r="G25" s="643"/>
      <c r="H25" s="643"/>
      <c r="I25" s="643"/>
      <c r="J25" s="644"/>
      <c r="K25" s="338">
        <v>10</v>
      </c>
      <c r="L25" s="339" t="s">
        <v>2641</v>
      </c>
      <c r="M25" s="335">
        <v>2</v>
      </c>
      <c r="N25" s="336" t="str">
        <f>IF('из города'!$AG$9=3,"Дол.",IF('из города'!$AG$9=1,"Руб.","Грн."))</f>
        <v>Грн.</v>
      </c>
      <c r="O25" s="333">
        <f t="shared" si="1"/>
        <v>20</v>
      </c>
      <c r="P25" s="331" t="str">
        <f>IF('из города'!$AG$9=3,"Дол.",IF('из города'!$AG$9=1,"Руб.","Грн."))</f>
        <v>Грн.</v>
      </c>
    </row>
    <row r="26" spans="4:16" s="280" customFormat="1" ht="20" customHeight="1">
      <c r="D26" s="677" t="s">
        <v>2653</v>
      </c>
      <c r="E26" s="643"/>
      <c r="F26" s="643"/>
      <c r="G26" s="643"/>
      <c r="H26" s="643"/>
      <c r="I26" s="643"/>
      <c r="J26" s="644"/>
      <c r="K26" s="338">
        <v>1</v>
      </c>
      <c r="L26" s="339" t="s">
        <v>2639</v>
      </c>
      <c r="M26" s="335">
        <v>20</v>
      </c>
      <c r="N26" s="336" t="str">
        <f>IF('из города'!$AG$9=3,"Дол.",IF('из города'!$AG$9=1,"Руб.","Грн."))</f>
        <v>Грн.</v>
      </c>
      <c r="O26" s="333">
        <f t="shared" si="1"/>
        <v>20</v>
      </c>
      <c r="P26" s="331" t="str">
        <f>IF('из города'!$AG$9=3,"Дол.",IF('из города'!$AG$9=1,"Руб.","Грн."))</f>
        <v>Грн.</v>
      </c>
    </row>
    <row r="27" spans="4:16" s="280" customFormat="1" ht="20" customHeight="1">
      <c r="D27" s="677" t="s">
        <v>2652</v>
      </c>
      <c r="E27" s="643"/>
      <c r="F27" s="643"/>
      <c r="G27" s="643"/>
      <c r="H27" s="643"/>
      <c r="I27" s="643"/>
      <c r="J27" s="644"/>
      <c r="K27" s="338">
        <v>10</v>
      </c>
      <c r="L27" s="339" t="s">
        <v>2639</v>
      </c>
      <c r="M27" s="335">
        <v>2</v>
      </c>
      <c r="N27" s="336" t="str">
        <f>IF('из города'!$AG$9=3,"Дол.",IF('из города'!$AG$9=1,"Руб.","Грн."))</f>
        <v>Грн.</v>
      </c>
      <c r="O27" s="333">
        <f t="shared" si="1"/>
        <v>20</v>
      </c>
      <c r="P27" s="331" t="str">
        <f>IF('из города'!$AG$9=3,"Дол.",IF('из города'!$AG$9=1,"Руб.","Грн."))</f>
        <v>Грн.</v>
      </c>
    </row>
    <row r="28" spans="4:16" s="280" customFormat="1" ht="20" customHeight="1">
      <c r="D28" s="677" t="s">
        <v>2674</v>
      </c>
      <c r="E28" s="643"/>
      <c r="F28" s="643"/>
      <c r="G28" s="643"/>
      <c r="H28" s="643"/>
      <c r="I28" s="643"/>
      <c r="J28" s="644"/>
      <c r="K28" s="338">
        <v>0</v>
      </c>
      <c r="L28" s="339" t="s">
        <v>2647</v>
      </c>
      <c r="M28" s="335">
        <v>70</v>
      </c>
      <c r="N28" s="336" t="str">
        <f>IF('из города'!$AG$9=3,"Дол.",IF('из города'!$AG$9=1,"Руб.","Грн."))</f>
        <v>Грн.</v>
      </c>
      <c r="O28" s="333">
        <f t="shared" si="1"/>
        <v>0</v>
      </c>
      <c r="P28" s="331" t="str">
        <f>IF('из города'!$AG$9=3,"Дол.",IF('из города'!$AG$9=1,"Руб.","Грн."))</f>
        <v>Грн.</v>
      </c>
    </row>
    <row r="29" spans="4:16" s="280" customFormat="1" ht="20" customHeight="1">
      <c r="D29" s="669" t="s">
        <v>2660</v>
      </c>
      <c r="E29" s="670"/>
      <c r="F29" s="670"/>
      <c r="G29" s="670"/>
      <c r="H29" s="670"/>
      <c r="I29" s="670"/>
      <c r="J29" s="671"/>
      <c r="K29" s="338">
        <v>6</v>
      </c>
      <c r="L29" s="339" t="s">
        <v>2661</v>
      </c>
      <c r="M29" s="335">
        <v>15</v>
      </c>
      <c r="N29" s="337" t="str">
        <f>IF('из города'!$AG$9=3,"Дол.",IF('из города'!$AG$9=1,"Руб.","Грн."))</f>
        <v>Грн.</v>
      </c>
      <c r="O29" s="333">
        <f t="shared" si="1"/>
        <v>90</v>
      </c>
      <c r="P29" s="331" t="str">
        <f>IF('из города'!$AG$9=3,"Дол.",IF('из города'!$AG$9=1,"Руб.","Грн."))</f>
        <v>Грн.</v>
      </c>
    </row>
    <row r="30" spans="4:16" s="280" customFormat="1" ht="20" customHeight="1">
      <c r="D30" s="653" t="s">
        <v>2658</v>
      </c>
      <c r="E30" s="654"/>
      <c r="F30" s="654"/>
      <c r="G30" s="654"/>
      <c r="H30" s="654"/>
      <c r="I30" s="654"/>
      <c r="J30" s="655"/>
      <c r="K30" s="338">
        <v>1</v>
      </c>
      <c r="L30" s="339" t="s">
        <v>2647</v>
      </c>
      <c r="M30" s="335">
        <v>0</v>
      </c>
      <c r="N30" s="336" t="str">
        <f>IF('из города'!$AG$9=3,"Дол.",IF('из города'!$AG$9=1,"Руб.","Грн."))</f>
        <v>Грн.</v>
      </c>
      <c r="O30" s="333">
        <f t="shared" si="1"/>
        <v>0</v>
      </c>
      <c r="P30" s="331" t="str">
        <f>IF('из города'!$AG$9=3,"Дол.",IF('из города'!$AG$9=1,"Руб.","Грн."))</f>
        <v>Грн.</v>
      </c>
    </row>
    <row r="31" spans="4:16" s="280" customFormat="1" ht="20" customHeight="1">
      <c r="D31" s="653" t="s">
        <v>2658</v>
      </c>
      <c r="E31" s="654"/>
      <c r="F31" s="654"/>
      <c r="G31" s="654"/>
      <c r="H31" s="654"/>
      <c r="I31" s="654"/>
      <c r="J31" s="655"/>
      <c r="K31" s="338">
        <v>1</v>
      </c>
      <c r="L31" s="339" t="s">
        <v>2647</v>
      </c>
      <c r="M31" s="335">
        <v>0</v>
      </c>
      <c r="N31" s="336" t="str">
        <f>IF('из города'!$AG$9=3,"Дол.",IF('из города'!$AG$9=1,"Руб.","Грн."))</f>
        <v>Грн.</v>
      </c>
      <c r="O31" s="333">
        <f t="shared" si="1"/>
        <v>0</v>
      </c>
      <c r="P31" s="331" t="str">
        <f>IF('из города'!$AG$9=3,"Дол.",IF('из города'!$AG$9=1,"Руб.","Грн."))</f>
        <v>Грн.</v>
      </c>
    </row>
    <row r="32" spans="4:16" s="280" customFormat="1" ht="20" customHeight="1">
      <c r="D32" s="653" t="s">
        <v>2658</v>
      </c>
      <c r="E32" s="654"/>
      <c r="F32" s="654"/>
      <c r="G32" s="654"/>
      <c r="H32" s="654"/>
      <c r="I32" s="654"/>
      <c r="J32" s="655"/>
      <c r="K32" s="338">
        <v>1</v>
      </c>
      <c r="L32" s="339" t="s">
        <v>2647</v>
      </c>
      <c r="M32" s="335">
        <v>0</v>
      </c>
      <c r="N32" s="336" t="str">
        <f>IF('из города'!$AG$9=3,"Дол.",IF('из города'!$AG$9=1,"Руб.","Грн."))</f>
        <v>Грн.</v>
      </c>
      <c r="O32" s="333">
        <f t="shared" si="1"/>
        <v>0</v>
      </c>
      <c r="P32" s="331" t="str">
        <f>IF('из города'!$AG$9=3,"Дол.",IF('из города'!$AG$9=1,"Руб.","Грн."))</f>
        <v>Грн.</v>
      </c>
    </row>
    <row r="33" spans="3:19" s="280" customFormat="1" ht="20" customHeight="1">
      <c r="D33" s="653" t="s">
        <v>2658</v>
      </c>
      <c r="E33" s="654"/>
      <c r="F33" s="654"/>
      <c r="G33" s="654"/>
      <c r="H33" s="654"/>
      <c r="I33" s="654"/>
      <c r="J33" s="655"/>
      <c r="K33" s="338">
        <v>1</v>
      </c>
      <c r="L33" s="339" t="s">
        <v>2647</v>
      </c>
      <c r="M33" s="335">
        <v>0</v>
      </c>
      <c r="N33" s="336" t="str">
        <f>IF('из города'!$AG$9=3,"Дол.",IF('из города'!$AG$9=1,"Руб.","Грн."))</f>
        <v>Грн.</v>
      </c>
      <c r="O33" s="333">
        <f t="shared" si="1"/>
        <v>0</v>
      </c>
      <c r="P33" s="331" t="str">
        <f>IF('из города'!$AG$9=3,"Дол.",IF('из города'!$AG$9=1,"Руб.","Грн."))</f>
        <v>Грн.</v>
      </c>
    </row>
    <row r="34" spans="3:19" s="280" customFormat="1" ht="20" customHeight="1">
      <c r="D34" s="653" t="s">
        <v>2658</v>
      </c>
      <c r="E34" s="654"/>
      <c r="F34" s="654"/>
      <c r="G34" s="654"/>
      <c r="H34" s="654"/>
      <c r="I34" s="654"/>
      <c r="J34" s="655"/>
      <c r="K34" s="338">
        <v>1</v>
      </c>
      <c r="L34" s="339" t="s">
        <v>2647</v>
      </c>
      <c r="M34" s="335">
        <v>0</v>
      </c>
      <c r="N34" s="336" t="str">
        <f>IF('из города'!$AG$9=3,"Дол.",IF('из города'!$AG$9=1,"Руб.","Грн."))</f>
        <v>Грн.</v>
      </c>
      <c r="O34" s="343">
        <f t="shared" si="1"/>
        <v>0</v>
      </c>
      <c r="P34" s="331" t="str">
        <f>IF('из города'!$AG$9=3,"Дол.",IF('из города'!$AG$9=1,"Руб.","Грн."))</f>
        <v>Грн.</v>
      </c>
      <c r="R34" s="390"/>
      <c r="S34" s="390"/>
    </row>
    <row r="35" spans="3:19" s="280" customFormat="1" ht="6.5" customHeight="1">
      <c r="C35" s="285" t="b">
        <v>0</v>
      </c>
      <c r="D35" s="749" t="s">
        <v>15</v>
      </c>
      <c r="E35" s="750"/>
      <c r="F35" s="750"/>
      <c r="G35" s="750"/>
      <c r="H35" s="750"/>
      <c r="I35" s="750"/>
      <c r="J35" s="259"/>
      <c r="K35" s="259"/>
      <c r="L35" s="260"/>
      <c r="M35" s="845">
        <f>O35/R35</f>
        <v>0</v>
      </c>
      <c r="N35" s="759" t="s">
        <v>17</v>
      </c>
      <c r="O35" s="845">
        <f>IF(C35=TRUE,SUM(O7:O34),0)</f>
        <v>0</v>
      </c>
      <c r="P35" s="679" t="str">
        <f>IF('из города'!$AG$9=3,"Дол.",IF('из города'!$AG$9=1,"Руб.","Грн."))</f>
        <v>Грн.</v>
      </c>
      <c r="R35" s="895">
        <f>Главная!O9</f>
        <v>26</v>
      </c>
      <c r="S35" s="390"/>
    </row>
    <row r="36" spans="3:19" s="280" customFormat="1" ht="6.5" customHeight="1">
      <c r="D36" s="751"/>
      <c r="E36" s="752"/>
      <c r="F36" s="752"/>
      <c r="G36" s="752"/>
      <c r="H36" s="752"/>
      <c r="I36" s="752"/>
      <c r="J36" s="259"/>
      <c r="K36" s="259"/>
      <c r="L36" s="260"/>
      <c r="M36" s="747"/>
      <c r="N36" s="704"/>
      <c r="O36" s="747"/>
      <c r="P36" s="679"/>
      <c r="R36" s="822"/>
      <c r="S36" s="390"/>
    </row>
    <row r="37" spans="3:19" s="280" customFormat="1" ht="6.5" customHeight="1">
      <c r="D37" s="751"/>
      <c r="E37" s="752"/>
      <c r="F37" s="752"/>
      <c r="G37" s="752"/>
      <c r="H37" s="752"/>
      <c r="I37" s="752"/>
      <c r="J37" s="259"/>
      <c r="K37" s="259"/>
      <c r="L37" s="260"/>
      <c r="M37" s="747"/>
      <c r="N37" s="704"/>
      <c r="O37" s="747"/>
      <c r="P37" s="679"/>
      <c r="R37" s="822"/>
      <c r="S37" s="390"/>
    </row>
    <row r="38" spans="3:19" s="280" customFormat="1" ht="6.5" customHeight="1" thickBot="1">
      <c r="D38" s="753"/>
      <c r="E38" s="754"/>
      <c r="F38" s="754"/>
      <c r="G38" s="754"/>
      <c r="H38" s="754"/>
      <c r="I38" s="754"/>
      <c r="J38" s="261"/>
      <c r="K38" s="261"/>
      <c r="L38" s="313"/>
      <c r="M38" s="748"/>
      <c r="N38" s="705"/>
      <c r="O38" s="748"/>
      <c r="P38" s="763"/>
      <c r="Q38" s="115">
        <f>O35</f>
        <v>0</v>
      </c>
      <c r="R38" s="390"/>
      <c r="S38" s="390"/>
    </row>
    <row r="39" spans="3:19" s="280" customFormat="1" ht="20" customHeight="1" thickTop="1">
      <c r="D39" s="258"/>
      <c r="E39" s="258"/>
      <c r="F39" s="258"/>
      <c r="G39" s="258"/>
      <c r="H39" s="258"/>
      <c r="I39" s="258"/>
      <c r="J39" s="287"/>
      <c r="K39" s="287"/>
      <c r="L39" s="287"/>
      <c r="M39" s="289"/>
      <c r="O39" s="279"/>
      <c r="R39" s="390"/>
      <c r="S39" s="390"/>
    </row>
    <row r="40" spans="3:19" s="280" customFormat="1" ht="20" customHeight="1" thickBot="1">
      <c r="D40" s="258"/>
      <c r="E40" s="258"/>
      <c r="F40" s="258"/>
      <c r="G40" s="258"/>
      <c r="H40" s="258"/>
      <c r="I40" s="258"/>
      <c r="J40" s="288"/>
      <c r="K40" s="288"/>
      <c r="L40" s="288"/>
      <c r="M40" s="288"/>
      <c r="O40" s="116"/>
    </row>
    <row r="41" spans="3:19" s="280" customFormat="1" ht="12.5" customHeight="1" thickTop="1">
      <c r="D41" s="706" t="s">
        <v>2718</v>
      </c>
      <c r="E41" s="697"/>
      <c r="F41" s="697"/>
      <c r="G41" s="697"/>
      <c r="H41" s="697"/>
      <c r="I41" s="697"/>
      <c r="J41" s="697"/>
      <c r="K41" s="697"/>
      <c r="L41" s="697"/>
      <c r="M41" s="697"/>
      <c r="N41" s="697"/>
      <c r="O41" s="697"/>
      <c r="P41" s="697"/>
    </row>
    <row r="42" spans="3:19" s="280" customFormat="1" ht="12.5" customHeight="1" thickBot="1">
      <c r="D42" s="849"/>
      <c r="E42" s="698"/>
      <c r="F42" s="698"/>
      <c r="G42" s="698"/>
      <c r="H42" s="698"/>
      <c r="I42" s="698"/>
      <c r="J42" s="698"/>
      <c r="K42" s="698"/>
      <c r="L42" s="698"/>
      <c r="M42" s="698"/>
      <c r="N42" s="698"/>
      <c r="O42" s="698"/>
      <c r="P42" s="698"/>
    </row>
    <row r="43" spans="3:19" s="280" customFormat="1" ht="10" customHeight="1" thickTop="1">
      <c r="D43" s="504" t="s">
        <v>2737</v>
      </c>
      <c r="E43" s="712"/>
      <c r="F43" s="712"/>
      <c r="G43" s="712"/>
      <c r="H43" s="712"/>
      <c r="I43" s="712"/>
      <c r="J43" s="713"/>
      <c r="K43" s="477" t="s">
        <v>2738</v>
      </c>
      <c r="L43" s="479"/>
      <c r="M43" s="477" t="s">
        <v>2</v>
      </c>
      <c r="N43" s="479"/>
      <c r="O43" s="478" t="s">
        <v>2749</v>
      </c>
      <c r="P43" s="479"/>
      <c r="Q43" s="340"/>
    </row>
    <row r="44" spans="3:19" s="280" customFormat="1" ht="10" customHeight="1">
      <c r="D44" s="714"/>
      <c r="E44" s="850"/>
      <c r="F44" s="850"/>
      <c r="G44" s="850"/>
      <c r="H44" s="850"/>
      <c r="I44" s="850"/>
      <c r="J44" s="716"/>
      <c r="K44" s="480"/>
      <c r="L44" s="482"/>
      <c r="M44" s="480"/>
      <c r="N44" s="482"/>
      <c r="O44" s="481"/>
      <c r="P44" s="482"/>
      <c r="Q44" s="340"/>
    </row>
    <row r="45" spans="3:19" s="280" customFormat="1" ht="10" customHeight="1" thickBot="1">
      <c r="D45" s="717"/>
      <c r="E45" s="710"/>
      <c r="F45" s="710"/>
      <c r="G45" s="710"/>
      <c r="H45" s="710"/>
      <c r="I45" s="710"/>
      <c r="J45" s="711"/>
      <c r="K45" s="483"/>
      <c r="L45" s="485"/>
      <c r="M45" s="483"/>
      <c r="N45" s="485"/>
      <c r="O45" s="484"/>
      <c r="P45" s="485"/>
      <c r="Q45" s="340"/>
    </row>
    <row r="46" spans="3:19" s="280" customFormat="1" ht="8.5" customHeight="1" thickTop="1">
      <c r="D46" s="730" t="s">
        <v>2747</v>
      </c>
      <c r="E46" s="731"/>
      <c r="F46" s="731"/>
      <c r="G46" s="731"/>
      <c r="H46" s="731"/>
      <c r="I46" s="731"/>
      <c r="J46" s="814"/>
      <c r="K46" s="861">
        <v>0</v>
      </c>
      <c r="L46" s="687" t="s">
        <v>13</v>
      </c>
      <c r="M46" s="668">
        <v>100</v>
      </c>
      <c r="N46" s="666" t="str">
        <f>IF('из города'!$AG$9=3,"Дол.",IF('из города'!$AG$9=1,"Руб.","Грн."))</f>
        <v>Грн.</v>
      </c>
      <c r="O46" s="664">
        <f>K46*M46</f>
        <v>0</v>
      </c>
      <c r="P46" s="652" t="str">
        <f>IF('из города'!$AG$9=3,"Дол.",IF('из города'!$AG$9=1,"Руб.","Грн."))</f>
        <v>Грн.</v>
      </c>
      <c r="Q46" s="340"/>
    </row>
    <row r="47" spans="3:19" s="280" customFormat="1" ht="8.5" customHeight="1">
      <c r="D47" s="645"/>
      <c r="E47" s="646"/>
      <c r="F47" s="646"/>
      <c r="G47" s="646"/>
      <c r="H47" s="646"/>
      <c r="I47" s="646"/>
      <c r="J47" s="647"/>
      <c r="K47" s="861"/>
      <c r="L47" s="687"/>
      <c r="M47" s="668"/>
      <c r="N47" s="666"/>
      <c r="O47" s="664"/>
      <c r="P47" s="652"/>
      <c r="Q47" s="340"/>
    </row>
    <row r="48" spans="3:19" s="280" customFormat="1" ht="8.5" customHeight="1">
      <c r="D48" s="648"/>
      <c r="E48" s="649"/>
      <c r="F48" s="649"/>
      <c r="G48" s="649"/>
      <c r="H48" s="649"/>
      <c r="I48" s="649"/>
      <c r="J48" s="650"/>
      <c r="K48" s="862"/>
      <c r="L48" s="688"/>
      <c r="M48" s="689"/>
      <c r="N48" s="681"/>
      <c r="O48" s="682"/>
      <c r="P48" s="690"/>
      <c r="Q48" s="340"/>
    </row>
    <row r="49" spans="4:18" s="280" customFormat="1" ht="8.5" customHeight="1">
      <c r="D49" s="738" t="s">
        <v>2755</v>
      </c>
      <c r="E49" s="739"/>
      <c r="F49" s="739"/>
      <c r="G49" s="739"/>
      <c r="H49" s="739"/>
      <c r="I49" s="739"/>
      <c r="J49" s="842"/>
      <c r="K49" s="861">
        <v>0</v>
      </c>
      <c r="L49" s="687" t="s">
        <v>13</v>
      </c>
      <c r="M49" s="667">
        <v>30</v>
      </c>
      <c r="N49" s="665" t="str">
        <f>IF('из города'!$AG$9=3,"Дол.",IF('из города'!$AG$9=1,"Руб.","Грн."))</f>
        <v>Грн.</v>
      </c>
      <c r="O49" s="663">
        <f>K49*M49</f>
        <v>0</v>
      </c>
      <c r="P49" s="651" t="str">
        <f>IF('из города'!$AG$9=3,"Дол.",IF('из города'!$AG$9=1,"Руб.","Грн."))</f>
        <v>Грн.</v>
      </c>
      <c r="Q49" s="340"/>
    </row>
    <row r="50" spans="4:18" s="280" customFormat="1" ht="8.5" customHeight="1">
      <c r="D50" s="740"/>
      <c r="E50" s="741"/>
      <c r="F50" s="741"/>
      <c r="G50" s="741"/>
      <c r="H50" s="741"/>
      <c r="I50" s="741"/>
      <c r="J50" s="843"/>
      <c r="K50" s="861"/>
      <c r="L50" s="687"/>
      <c r="M50" s="668"/>
      <c r="N50" s="666"/>
      <c r="O50" s="664"/>
      <c r="P50" s="652"/>
      <c r="Q50" s="340"/>
    </row>
    <row r="51" spans="4:18" s="280" customFormat="1" ht="8.5" customHeight="1">
      <c r="D51" s="742"/>
      <c r="E51" s="743"/>
      <c r="F51" s="743"/>
      <c r="G51" s="743"/>
      <c r="H51" s="743"/>
      <c r="I51" s="743"/>
      <c r="J51" s="844"/>
      <c r="K51" s="862"/>
      <c r="L51" s="688"/>
      <c r="M51" s="689"/>
      <c r="N51" s="681"/>
      <c r="O51" s="682"/>
      <c r="P51" s="690"/>
    </row>
    <row r="52" spans="4:18" s="280" customFormat="1" ht="8.5" customHeight="1">
      <c r="D52" s="677" t="s">
        <v>2758</v>
      </c>
      <c r="E52" s="643"/>
      <c r="F52" s="643"/>
      <c r="G52" s="643"/>
      <c r="H52" s="643"/>
      <c r="I52" s="643"/>
      <c r="J52" s="644"/>
      <c r="K52" s="853">
        <v>0</v>
      </c>
      <c r="L52" s="687" t="s">
        <v>13</v>
      </c>
      <c r="M52" s="667">
        <v>30</v>
      </c>
      <c r="N52" s="665" t="str">
        <f>IF('из города'!$AG$9=3,"Дол.",IF('из города'!$AG$9=1,"Руб.","Грн."))</f>
        <v>Грн.</v>
      </c>
      <c r="O52" s="663">
        <f>K52*M52</f>
        <v>0</v>
      </c>
      <c r="P52" s="651" t="str">
        <f>IF('из города'!$AG$9=3,"Дол.",IF('из города'!$AG$9=1,"Руб.","Грн."))</f>
        <v>Грн.</v>
      </c>
    </row>
    <row r="53" spans="4:18" s="280" customFormat="1" ht="8.5" customHeight="1">
      <c r="D53" s="645"/>
      <c r="E53" s="646"/>
      <c r="F53" s="646"/>
      <c r="G53" s="646"/>
      <c r="H53" s="646"/>
      <c r="I53" s="646"/>
      <c r="J53" s="647"/>
      <c r="K53" s="854"/>
      <c r="L53" s="687"/>
      <c r="M53" s="668"/>
      <c r="N53" s="666"/>
      <c r="O53" s="664"/>
      <c r="P53" s="652"/>
    </row>
    <row r="54" spans="4:18" s="280" customFormat="1" ht="8.5" customHeight="1">
      <c r="D54" s="648"/>
      <c r="E54" s="649"/>
      <c r="F54" s="649"/>
      <c r="G54" s="649"/>
      <c r="H54" s="649"/>
      <c r="I54" s="649"/>
      <c r="J54" s="650"/>
      <c r="K54" s="855"/>
      <c r="L54" s="688"/>
      <c r="M54" s="689"/>
      <c r="N54" s="681"/>
      <c r="O54" s="682"/>
      <c r="P54" s="690"/>
    </row>
    <row r="55" spans="4:18" s="280" customFormat="1" ht="8.5" customHeight="1">
      <c r="D55" s="677" t="s">
        <v>2751</v>
      </c>
      <c r="E55" s="643"/>
      <c r="F55" s="643"/>
      <c r="G55" s="643"/>
      <c r="H55" s="643"/>
      <c r="I55" s="643"/>
      <c r="J55" s="644"/>
      <c r="K55" s="853">
        <v>0</v>
      </c>
      <c r="L55" s="687" t="s">
        <v>13</v>
      </c>
      <c r="M55" s="667">
        <v>30</v>
      </c>
      <c r="N55" s="665" t="str">
        <f>IF('из города'!$AG$9=3,"Дол.",IF('из города'!$AG$9=1,"Руб.","Грн."))</f>
        <v>Грн.</v>
      </c>
      <c r="O55" s="663">
        <f>K55*M55</f>
        <v>0</v>
      </c>
      <c r="P55" s="651" t="str">
        <f>IF('из города'!$AG$9=3,"Дол.",IF('из города'!$AG$9=1,"Руб.","Грн."))</f>
        <v>Грн.</v>
      </c>
      <c r="R55" s="115"/>
    </row>
    <row r="56" spans="4:18" s="280" customFormat="1" ht="8.5" customHeight="1">
      <c r="D56" s="645"/>
      <c r="E56" s="646"/>
      <c r="F56" s="646"/>
      <c r="G56" s="646"/>
      <c r="H56" s="646"/>
      <c r="I56" s="646"/>
      <c r="J56" s="647"/>
      <c r="K56" s="854"/>
      <c r="L56" s="687"/>
      <c r="M56" s="668"/>
      <c r="N56" s="666"/>
      <c r="O56" s="664"/>
      <c r="P56" s="652"/>
    </row>
    <row r="57" spans="4:18" s="280" customFormat="1" ht="8.5" customHeight="1">
      <c r="D57" s="648"/>
      <c r="E57" s="649"/>
      <c r="F57" s="649"/>
      <c r="G57" s="649"/>
      <c r="H57" s="649"/>
      <c r="I57" s="649"/>
      <c r="J57" s="650"/>
      <c r="K57" s="855"/>
      <c r="L57" s="688"/>
      <c r="M57" s="689"/>
      <c r="N57" s="681"/>
      <c r="O57" s="682"/>
      <c r="P57" s="690"/>
    </row>
    <row r="58" spans="4:18" s="280" customFormat="1" ht="8.5" customHeight="1">
      <c r="D58" s="677" t="s">
        <v>2759</v>
      </c>
      <c r="E58" s="643"/>
      <c r="F58" s="643"/>
      <c r="G58" s="643"/>
      <c r="H58" s="643"/>
      <c r="I58" s="643"/>
      <c r="J58" s="644"/>
      <c r="K58" s="853">
        <v>0</v>
      </c>
      <c r="L58" s="687" t="s">
        <v>13</v>
      </c>
      <c r="M58" s="667">
        <v>10</v>
      </c>
      <c r="N58" s="665" t="str">
        <f>IF('из города'!$AG$9=3,"Дол.",IF('из города'!$AG$9=1,"Руб.","Грн."))</f>
        <v>Грн.</v>
      </c>
      <c r="O58" s="663">
        <f>K58*M58</f>
        <v>0</v>
      </c>
      <c r="P58" s="651" t="str">
        <f>IF('из города'!$AG$9=3,"Дол.",IF('из города'!$AG$9=1,"Руб.","Грн."))</f>
        <v>Грн.</v>
      </c>
    </row>
    <row r="59" spans="4:18" s="280" customFormat="1" ht="8.5" customHeight="1">
      <c r="D59" s="645"/>
      <c r="E59" s="646"/>
      <c r="F59" s="646"/>
      <c r="G59" s="646"/>
      <c r="H59" s="646"/>
      <c r="I59" s="646"/>
      <c r="J59" s="647"/>
      <c r="K59" s="854"/>
      <c r="L59" s="687"/>
      <c r="M59" s="668"/>
      <c r="N59" s="666"/>
      <c r="O59" s="664"/>
      <c r="P59" s="652"/>
    </row>
    <row r="60" spans="4:18" s="280" customFormat="1" ht="8.5" customHeight="1">
      <c r="D60" s="648"/>
      <c r="E60" s="649"/>
      <c r="F60" s="649"/>
      <c r="G60" s="649"/>
      <c r="H60" s="649"/>
      <c r="I60" s="649"/>
      <c r="J60" s="650"/>
      <c r="K60" s="855"/>
      <c r="L60" s="688"/>
      <c r="M60" s="689"/>
      <c r="N60" s="681"/>
      <c r="O60" s="682"/>
      <c r="P60" s="690"/>
    </row>
    <row r="61" spans="4:18" s="280" customFormat="1" ht="8.5" customHeight="1">
      <c r="D61" s="677" t="s">
        <v>2760</v>
      </c>
      <c r="E61" s="643"/>
      <c r="F61" s="643"/>
      <c r="G61" s="643"/>
      <c r="H61" s="643"/>
      <c r="I61" s="643"/>
      <c r="J61" s="644"/>
      <c r="K61" s="853">
        <v>0</v>
      </c>
      <c r="L61" s="686" t="s">
        <v>2761</v>
      </c>
      <c r="M61" s="667">
        <v>0</v>
      </c>
      <c r="N61" s="665" t="str">
        <f>IF('из города'!$AG$9=3,"Дол.",IF('из города'!$AG$9=1,"Руб.","Грн."))</f>
        <v>Грн.</v>
      </c>
      <c r="O61" s="663">
        <f>K61*M61</f>
        <v>0</v>
      </c>
      <c r="P61" s="651" t="str">
        <f>IF('из города'!$AG$9=3,"Дол.",IF('из города'!$AG$9=1,"Руб.","Грн."))</f>
        <v>Грн.</v>
      </c>
    </row>
    <row r="62" spans="4:18" s="280" customFormat="1" ht="8.5" customHeight="1">
      <c r="D62" s="645"/>
      <c r="E62" s="646"/>
      <c r="F62" s="646"/>
      <c r="G62" s="646"/>
      <c r="H62" s="646"/>
      <c r="I62" s="646"/>
      <c r="J62" s="647"/>
      <c r="K62" s="861"/>
      <c r="L62" s="687"/>
      <c r="M62" s="668"/>
      <c r="N62" s="666"/>
      <c r="O62" s="664"/>
      <c r="P62" s="652"/>
    </row>
    <row r="63" spans="4:18" s="280" customFormat="1" ht="8.5" customHeight="1">
      <c r="D63" s="648"/>
      <c r="E63" s="649"/>
      <c r="F63" s="649"/>
      <c r="G63" s="649"/>
      <c r="H63" s="649"/>
      <c r="I63" s="649"/>
      <c r="J63" s="650"/>
      <c r="K63" s="862"/>
      <c r="L63" s="688"/>
      <c r="M63" s="689"/>
      <c r="N63" s="681"/>
      <c r="O63" s="682"/>
      <c r="P63" s="690"/>
    </row>
    <row r="64" spans="4:18" s="280" customFormat="1" ht="8.5" customHeight="1">
      <c r="D64" s="677" t="s">
        <v>2762</v>
      </c>
      <c r="E64" s="643"/>
      <c r="F64" s="643"/>
      <c r="G64" s="643"/>
      <c r="H64" s="643"/>
      <c r="I64" s="643"/>
      <c r="J64" s="644"/>
      <c r="K64" s="853">
        <v>0</v>
      </c>
      <c r="L64" s="686" t="s">
        <v>2763</v>
      </c>
      <c r="M64" s="667">
        <v>0</v>
      </c>
      <c r="N64" s="665" t="str">
        <f>IF('из города'!$AG$9=3,"Дол.",IF('из города'!$AG$9=1,"Руб.","Грн."))</f>
        <v>Грн.</v>
      </c>
      <c r="O64" s="663">
        <f>K64*M64</f>
        <v>0</v>
      </c>
      <c r="P64" s="651" t="str">
        <f>IF('из города'!$AG$9=3,"Дол.",IF('из города'!$AG$9=1,"Руб.","Грн."))</f>
        <v>Грн.</v>
      </c>
    </row>
    <row r="65" spans="3:17" s="280" customFormat="1" ht="8.5" customHeight="1">
      <c r="D65" s="645"/>
      <c r="E65" s="646"/>
      <c r="F65" s="646"/>
      <c r="G65" s="646"/>
      <c r="H65" s="646"/>
      <c r="I65" s="646"/>
      <c r="J65" s="647"/>
      <c r="K65" s="861"/>
      <c r="L65" s="687"/>
      <c r="M65" s="668"/>
      <c r="N65" s="666"/>
      <c r="O65" s="664"/>
      <c r="P65" s="652"/>
    </row>
    <row r="66" spans="3:17" s="280" customFormat="1" ht="8.5" customHeight="1">
      <c r="D66" s="648"/>
      <c r="E66" s="649"/>
      <c r="F66" s="649"/>
      <c r="G66" s="649"/>
      <c r="H66" s="649"/>
      <c r="I66" s="649"/>
      <c r="J66" s="650"/>
      <c r="K66" s="862"/>
      <c r="L66" s="688"/>
      <c r="M66" s="689"/>
      <c r="N66" s="681"/>
      <c r="O66" s="682"/>
      <c r="P66" s="690"/>
    </row>
    <row r="67" spans="3:17" s="280" customFormat="1" ht="8.5" customHeight="1">
      <c r="D67" s="677" t="s">
        <v>2764</v>
      </c>
      <c r="E67" s="643"/>
      <c r="F67" s="643"/>
      <c r="G67" s="643"/>
      <c r="H67" s="643"/>
      <c r="I67" s="643"/>
      <c r="J67" s="644"/>
      <c r="K67" s="853">
        <v>0</v>
      </c>
      <c r="L67" s="686" t="s">
        <v>2763</v>
      </c>
      <c r="M67" s="667">
        <v>0</v>
      </c>
      <c r="N67" s="665" t="str">
        <f>IF('из города'!$AG$9=3,"Дол.",IF('из города'!$AG$9=1,"Руб.","Грн."))</f>
        <v>Грн.</v>
      </c>
      <c r="O67" s="663">
        <f>K67*M67</f>
        <v>0</v>
      </c>
      <c r="P67" s="651" t="str">
        <f>IF('из города'!$AG$9=3,"Дол.",IF('из города'!$AG$9=1,"Руб.","Грн."))</f>
        <v>Грн.</v>
      </c>
    </row>
    <row r="68" spans="3:17" s="280" customFormat="1" ht="8.5" customHeight="1">
      <c r="D68" s="645"/>
      <c r="E68" s="646"/>
      <c r="F68" s="646"/>
      <c r="G68" s="646"/>
      <c r="H68" s="646"/>
      <c r="I68" s="646"/>
      <c r="J68" s="647"/>
      <c r="K68" s="861"/>
      <c r="L68" s="687"/>
      <c r="M68" s="668"/>
      <c r="N68" s="666"/>
      <c r="O68" s="664"/>
      <c r="P68" s="652"/>
    </row>
    <row r="69" spans="3:17" s="280" customFormat="1" ht="8.5" customHeight="1">
      <c r="D69" s="648"/>
      <c r="E69" s="649"/>
      <c r="F69" s="649"/>
      <c r="G69" s="649"/>
      <c r="H69" s="649"/>
      <c r="I69" s="649"/>
      <c r="J69" s="650"/>
      <c r="K69" s="862"/>
      <c r="L69" s="688"/>
      <c r="M69" s="689"/>
      <c r="N69" s="681"/>
      <c r="O69" s="682"/>
      <c r="P69" s="690"/>
    </row>
    <row r="70" spans="3:17" s="280" customFormat="1" ht="8" customHeight="1">
      <c r="C70" s="285" t="b">
        <v>0</v>
      </c>
      <c r="D70" s="749" t="s">
        <v>2723</v>
      </c>
      <c r="E70" s="750"/>
      <c r="F70" s="750"/>
      <c r="G70" s="750"/>
      <c r="H70" s="750"/>
      <c r="I70" s="750"/>
      <c r="J70" s="259"/>
      <c r="K70" s="259"/>
      <c r="L70" s="260"/>
      <c r="M70" s="845">
        <f>O70/R35</f>
        <v>0</v>
      </c>
      <c r="N70" s="759" t="s">
        <v>17</v>
      </c>
      <c r="O70" s="845">
        <f>IF(C70=TRUE,O46+O49+O52+O55+O58+O61+O64,0)</f>
        <v>0</v>
      </c>
      <c r="P70" s="679" t="str">
        <f>IF('из города'!$AG$9=3,"Дол.",IF('из города'!$AG$9=1,"Руб.","Грн."))</f>
        <v>Грн.</v>
      </c>
    </row>
    <row r="71" spans="3:17" s="280" customFormat="1" ht="8" customHeight="1">
      <c r="D71" s="751"/>
      <c r="E71" s="752"/>
      <c r="F71" s="752"/>
      <c r="G71" s="752"/>
      <c r="H71" s="752"/>
      <c r="I71" s="752"/>
      <c r="J71" s="259"/>
      <c r="K71" s="259"/>
      <c r="L71" s="704"/>
      <c r="M71" s="747"/>
      <c r="N71" s="704"/>
      <c r="O71" s="747"/>
      <c r="P71" s="679"/>
    </row>
    <row r="72" spans="3:17" s="280" customFormat="1" ht="8" customHeight="1">
      <c r="D72" s="751"/>
      <c r="E72" s="752"/>
      <c r="F72" s="752"/>
      <c r="G72" s="752"/>
      <c r="H72" s="752"/>
      <c r="I72" s="752"/>
      <c r="J72" s="259"/>
      <c r="K72" s="259"/>
      <c r="L72" s="704"/>
      <c r="M72" s="747"/>
      <c r="N72" s="704"/>
      <c r="O72" s="747"/>
      <c r="P72" s="679"/>
      <c r="Q72" s="115">
        <f>O70</f>
        <v>0</v>
      </c>
    </row>
    <row r="73" spans="3:17" s="280" customFormat="1" ht="8" customHeight="1" thickBot="1">
      <c r="D73" s="753"/>
      <c r="E73" s="754"/>
      <c r="F73" s="754"/>
      <c r="G73" s="754"/>
      <c r="H73" s="754"/>
      <c r="I73" s="754"/>
      <c r="J73" s="261"/>
      <c r="K73" s="261"/>
      <c r="L73" s="705"/>
      <c r="M73" s="748"/>
      <c r="N73" s="705"/>
      <c r="O73" s="748"/>
      <c r="P73" s="763"/>
    </row>
    <row r="74" spans="3:17" s="280" customFormat="1" ht="20" customHeight="1" thickTop="1"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P74" s="332"/>
    </row>
    <row r="75" spans="3:17" s="280" customFormat="1" ht="20" customHeight="1"/>
    <row r="76" spans="3:17" s="280" customFormat="1" ht="20" customHeight="1"/>
    <row r="77" spans="3:17" s="280" customFormat="1" ht="20" customHeight="1"/>
    <row r="78" spans="3:17" s="280" customFormat="1" ht="20" customHeight="1"/>
    <row r="79" spans="3:17" s="280" customFormat="1" ht="20" customHeight="1"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P79" s="332"/>
    </row>
    <row r="80" spans="3:17" s="280" customFormat="1" ht="20" customHeight="1"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P80" s="332"/>
    </row>
    <row r="81" spans="1:16" s="280" customFormat="1" ht="20" customHeight="1"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P81" s="332"/>
    </row>
    <row r="82" spans="1:16" s="280" customFormat="1" ht="20" customHeight="1"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P82" s="332"/>
    </row>
    <row r="83" spans="1:16" s="280" customFormat="1" ht="20" customHeight="1"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P83" s="332"/>
    </row>
    <row r="84" spans="1:16" s="280" customFormat="1" ht="20" customHeight="1">
      <c r="A84" s="280" t="b">
        <v>1</v>
      </c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P84" s="334"/>
    </row>
    <row r="85" spans="1:16" s="280" customFormat="1" ht="20" customHeight="1"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P85" s="334"/>
    </row>
    <row r="86" spans="1:16" s="280" customFormat="1" ht="20" customHeight="1"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P86" s="334"/>
    </row>
    <row r="87" spans="1:16" s="280" customFormat="1" ht="20" customHeight="1"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P87" s="334"/>
    </row>
    <row r="88" spans="1:16"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P88" s="174"/>
    </row>
    <row r="89" spans="1:16"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P89" s="174"/>
    </row>
    <row r="90" spans="1:16"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P90" s="174"/>
    </row>
    <row r="91" spans="1:16"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P91" s="174"/>
    </row>
    <row r="92" spans="1:16"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P92" s="174"/>
    </row>
    <row r="93" spans="1:16"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P93" s="174"/>
    </row>
    <row r="94" spans="1:16"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P94" s="174"/>
    </row>
    <row r="95" spans="1:16"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P95" s="174"/>
    </row>
    <row r="96" spans="1:16"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P96" s="174"/>
    </row>
    <row r="97" spans="4:16"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P97" s="174"/>
    </row>
    <row r="98" spans="4:16"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P98" s="174"/>
    </row>
    <row r="99" spans="4:16"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P99" s="174"/>
    </row>
    <row r="100" spans="4:16"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P100" s="174"/>
    </row>
    <row r="101" spans="4:16"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P101" s="174"/>
    </row>
    <row r="102" spans="4:16"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P102" s="174"/>
    </row>
    <row r="103" spans="4:16"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P103" s="174"/>
    </row>
    <row r="104" spans="4:16"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P104" s="174"/>
    </row>
    <row r="105" spans="4:16"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P105" s="174"/>
    </row>
    <row r="106" spans="4:16"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P106" s="174"/>
    </row>
    <row r="107" spans="4:16"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P107" s="174"/>
    </row>
    <row r="108" spans="4:16"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P108" s="174"/>
    </row>
    <row r="109" spans="4:16"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P109" s="174"/>
    </row>
    <row r="110" spans="4:16"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P110" s="174"/>
    </row>
    <row r="111" spans="4:16"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P111" s="174"/>
    </row>
    <row r="112" spans="4:16"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P112" s="174"/>
    </row>
    <row r="113" spans="4:16"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P113" s="174"/>
    </row>
    <row r="114" spans="4:16"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P114" s="174"/>
    </row>
    <row r="115" spans="4:16"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P115" s="174"/>
    </row>
    <row r="116" spans="4:16"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P116" s="174"/>
    </row>
    <row r="117" spans="4:16"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P117" s="174"/>
    </row>
    <row r="118" spans="4:16"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P118" s="174"/>
    </row>
    <row r="119" spans="4:16"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P119" s="174"/>
    </row>
    <row r="120" spans="4:16"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P120" s="174"/>
    </row>
    <row r="121" spans="4:16"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P121" s="174"/>
    </row>
    <row r="122" spans="4:16"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P122" s="174"/>
    </row>
    <row r="123" spans="4:16"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P123" s="174"/>
    </row>
    <row r="124" spans="4:16"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P124" s="174"/>
    </row>
    <row r="125" spans="4:16"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P125" s="174"/>
    </row>
    <row r="126" spans="4:16"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P126" s="174"/>
    </row>
    <row r="127" spans="4:16"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P127" s="174"/>
    </row>
    <row r="128" spans="4:16"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P128" s="174"/>
    </row>
    <row r="129" spans="4:16"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P129" s="174"/>
    </row>
    <row r="130" spans="4:16"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P130" s="174"/>
    </row>
    <row r="131" spans="4:16"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P131" s="174"/>
    </row>
    <row r="132" spans="4:16"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P132" s="174"/>
    </row>
    <row r="133" spans="4:16"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P133" s="174"/>
    </row>
    <row r="134" spans="4:16"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P134" s="174"/>
    </row>
    <row r="135" spans="4:16"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P135" s="174"/>
    </row>
    <row r="136" spans="4:16"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P136" s="174"/>
    </row>
    <row r="137" spans="4:16"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P137" s="174"/>
    </row>
    <row r="138" spans="4:16"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P138" s="174"/>
    </row>
    <row r="139" spans="4:16"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P139" s="174"/>
    </row>
    <row r="140" spans="4:16"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P140" s="174"/>
    </row>
    <row r="141" spans="4:16"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P141" s="174"/>
    </row>
    <row r="142" spans="4:16"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P142" s="174"/>
    </row>
    <row r="143" spans="4:16"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P143" s="174"/>
    </row>
    <row r="144" spans="4:16"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P144" s="174"/>
    </row>
    <row r="145" spans="4:16"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P145" s="174"/>
    </row>
    <row r="146" spans="4:16"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P146" s="174"/>
    </row>
    <row r="147" spans="4:16"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P147" s="174"/>
    </row>
    <row r="148" spans="4:16"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P148" s="174"/>
    </row>
    <row r="149" spans="4:16"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P149" s="174"/>
    </row>
    <row r="150" spans="4:16"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</row>
    <row r="151" spans="4:16"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</row>
    <row r="152" spans="4:16"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</row>
    <row r="153" spans="4:16"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</row>
    <row r="154" spans="4:16"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</row>
    <row r="155" spans="4:16"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</row>
    <row r="156" spans="4:16"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</row>
    <row r="157" spans="4:16"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</row>
    <row r="158" spans="4:16"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</row>
    <row r="159" spans="4:16">
      <c r="D159" s="174"/>
      <c r="E159" s="174"/>
      <c r="F159" s="174"/>
      <c r="G159" s="174"/>
      <c r="H159" s="174"/>
      <c r="I159" s="174"/>
      <c r="J159" s="174"/>
      <c r="K159" s="174"/>
      <c r="L159" s="174"/>
      <c r="M159" s="174"/>
      <c r="N159" s="174"/>
    </row>
    <row r="160" spans="4:16">
      <c r="D160" s="174"/>
      <c r="E160" s="174"/>
      <c r="F160" s="174"/>
      <c r="G160" s="174"/>
      <c r="H160" s="174"/>
      <c r="I160" s="174"/>
      <c r="J160" s="174"/>
      <c r="K160" s="174"/>
      <c r="L160" s="174"/>
      <c r="M160" s="174"/>
      <c r="N160" s="174"/>
    </row>
    <row r="161" spans="4:14">
      <c r="D161" s="174"/>
      <c r="E161" s="174"/>
      <c r="F161" s="174"/>
      <c r="G161" s="174"/>
      <c r="H161" s="174"/>
      <c r="I161" s="174"/>
      <c r="J161" s="174"/>
      <c r="K161" s="174"/>
      <c r="L161" s="174"/>
      <c r="M161" s="174"/>
      <c r="N161" s="174"/>
    </row>
    <row r="162" spans="4:14">
      <c r="D162" s="174"/>
      <c r="E162" s="174"/>
      <c r="F162" s="174"/>
      <c r="G162" s="174"/>
      <c r="H162" s="174"/>
      <c r="I162" s="174"/>
      <c r="J162" s="174"/>
      <c r="K162" s="174"/>
      <c r="L162" s="174"/>
      <c r="M162" s="174"/>
      <c r="N162" s="174"/>
    </row>
    <row r="163" spans="4:14">
      <c r="D163" s="174"/>
      <c r="E163" s="174"/>
      <c r="F163" s="174"/>
      <c r="G163" s="174"/>
      <c r="H163" s="174"/>
      <c r="I163" s="174"/>
      <c r="J163" s="174"/>
      <c r="K163" s="174"/>
      <c r="L163" s="174"/>
      <c r="M163" s="174"/>
      <c r="N163" s="174"/>
    </row>
    <row r="164" spans="4:14">
      <c r="D164" s="174"/>
      <c r="E164" s="174"/>
      <c r="F164" s="174"/>
      <c r="G164" s="174"/>
      <c r="H164" s="174"/>
      <c r="I164" s="174"/>
      <c r="J164" s="174"/>
      <c r="K164" s="174"/>
      <c r="L164" s="174"/>
      <c r="M164" s="174"/>
      <c r="N164" s="174"/>
    </row>
    <row r="165" spans="4:14">
      <c r="D165" s="174"/>
      <c r="E165" s="174"/>
      <c r="F165" s="174"/>
      <c r="G165" s="174"/>
      <c r="H165" s="174"/>
      <c r="I165" s="174"/>
      <c r="J165" s="174"/>
      <c r="K165" s="174"/>
      <c r="L165" s="174"/>
      <c r="M165" s="174"/>
      <c r="N165" s="174"/>
    </row>
    <row r="166" spans="4:14">
      <c r="D166" s="174"/>
      <c r="E166" s="174"/>
      <c r="F166" s="174"/>
      <c r="G166" s="174"/>
      <c r="H166" s="174"/>
      <c r="I166" s="174"/>
      <c r="J166" s="174"/>
      <c r="K166" s="174"/>
      <c r="L166" s="174"/>
      <c r="M166" s="174"/>
      <c r="N166" s="174"/>
    </row>
    <row r="167" spans="4:14">
      <c r="D167" s="174"/>
      <c r="E167" s="174"/>
      <c r="F167" s="174"/>
      <c r="G167" s="174"/>
      <c r="H167" s="174"/>
      <c r="I167" s="174"/>
      <c r="J167" s="174"/>
      <c r="K167" s="174"/>
      <c r="L167" s="174"/>
      <c r="M167" s="174"/>
      <c r="N167" s="174"/>
    </row>
    <row r="168" spans="4:14">
      <c r="D168" s="174"/>
      <c r="E168" s="174"/>
      <c r="F168" s="174"/>
      <c r="G168" s="174"/>
      <c r="H168" s="174"/>
      <c r="I168" s="174"/>
      <c r="J168" s="174"/>
      <c r="K168" s="174"/>
      <c r="L168" s="174"/>
      <c r="M168" s="174"/>
      <c r="N168" s="174"/>
    </row>
    <row r="169" spans="4:14">
      <c r="D169" s="174"/>
      <c r="E169" s="174"/>
      <c r="F169" s="174"/>
      <c r="G169" s="174"/>
      <c r="H169" s="174"/>
      <c r="I169" s="174"/>
      <c r="J169" s="174"/>
      <c r="K169" s="174"/>
      <c r="L169" s="174"/>
      <c r="M169" s="174"/>
      <c r="N169" s="174"/>
    </row>
    <row r="170" spans="4:14">
      <c r="D170" s="174"/>
      <c r="E170" s="174"/>
      <c r="F170" s="174"/>
      <c r="G170" s="174"/>
      <c r="H170" s="174"/>
      <c r="I170" s="174"/>
      <c r="J170" s="174"/>
      <c r="K170" s="174"/>
      <c r="L170" s="174"/>
      <c r="M170" s="174"/>
      <c r="N170" s="174"/>
    </row>
  </sheetData>
  <sheetProtection password="C665" sheet="1" selectLockedCells="1"/>
  <mergeCells count="107">
    <mergeCell ref="R35:R37"/>
    <mergeCell ref="D2:P3"/>
    <mergeCell ref="D24:J24"/>
    <mergeCell ref="D25:J25"/>
    <mergeCell ref="D26:J26"/>
    <mergeCell ref="D27:J27"/>
    <mergeCell ref="D28:J28"/>
    <mergeCell ref="D29:J29"/>
    <mergeCell ref="D30:J30"/>
    <mergeCell ref="D31:J31"/>
    <mergeCell ref="O4:P6"/>
    <mergeCell ref="D33:J33"/>
    <mergeCell ref="M1:N1"/>
    <mergeCell ref="D4:J6"/>
    <mergeCell ref="K4:L6"/>
    <mergeCell ref="M4:N6"/>
    <mergeCell ref="D7:J7"/>
    <mergeCell ref="D8:J8"/>
    <mergeCell ref="D9:J9"/>
    <mergeCell ref="D32:J32"/>
    <mergeCell ref="D21:I21"/>
    <mergeCell ref="D22:I22"/>
    <mergeCell ref="D23:I23"/>
    <mergeCell ref="D16:J16"/>
    <mergeCell ref="D14:J14"/>
    <mergeCell ref="D17:I17"/>
    <mergeCell ref="D18:I18"/>
    <mergeCell ref="D19:I19"/>
    <mergeCell ref="D20:I20"/>
    <mergeCell ref="D41:P42"/>
    <mergeCell ref="D43:J45"/>
    <mergeCell ref="K43:L45"/>
    <mergeCell ref="M43:N45"/>
    <mergeCell ref="O43:P45"/>
    <mergeCell ref="D10:J10"/>
    <mergeCell ref="D11:J11"/>
    <mergeCell ref="D12:J12"/>
    <mergeCell ref="D13:J13"/>
    <mergeCell ref="D15:J15"/>
    <mergeCell ref="D35:I38"/>
    <mergeCell ref="M35:M38"/>
    <mergeCell ref="N35:N38"/>
    <mergeCell ref="O35:O38"/>
    <mergeCell ref="P35:P38"/>
    <mergeCell ref="D34:J34"/>
    <mergeCell ref="P46:P48"/>
    <mergeCell ref="D49:J51"/>
    <mergeCell ref="K49:K51"/>
    <mergeCell ref="L49:L51"/>
    <mergeCell ref="M49:M51"/>
    <mergeCell ref="N49:N51"/>
    <mergeCell ref="O49:O51"/>
    <mergeCell ref="P49:P51"/>
    <mergeCell ref="D46:J48"/>
    <mergeCell ref="K46:K48"/>
    <mergeCell ref="L46:L48"/>
    <mergeCell ref="M46:M48"/>
    <mergeCell ref="N46:N48"/>
    <mergeCell ref="O46:O48"/>
    <mergeCell ref="P52:P54"/>
    <mergeCell ref="D55:J57"/>
    <mergeCell ref="K55:K57"/>
    <mergeCell ref="L55:L57"/>
    <mergeCell ref="M55:M57"/>
    <mergeCell ref="N55:N57"/>
    <mergeCell ref="O55:O57"/>
    <mergeCell ref="P55:P57"/>
    <mergeCell ref="D52:J54"/>
    <mergeCell ref="K52:K54"/>
    <mergeCell ref="L52:L54"/>
    <mergeCell ref="M52:M54"/>
    <mergeCell ref="N52:N54"/>
    <mergeCell ref="O52:O54"/>
    <mergeCell ref="P58:P60"/>
    <mergeCell ref="D67:J69"/>
    <mergeCell ref="K67:K69"/>
    <mergeCell ref="L67:L69"/>
    <mergeCell ref="M67:M69"/>
    <mergeCell ref="N67:N69"/>
    <mergeCell ref="O67:O69"/>
    <mergeCell ref="D58:J60"/>
    <mergeCell ref="K58:K60"/>
    <mergeCell ref="L58:L60"/>
    <mergeCell ref="M58:M60"/>
    <mergeCell ref="N58:N60"/>
    <mergeCell ref="O58:O60"/>
    <mergeCell ref="M61:M63"/>
    <mergeCell ref="L61:L63"/>
    <mergeCell ref="K61:K63"/>
    <mergeCell ref="D61:J63"/>
    <mergeCell ref="P61:P63"/>
    <mergeCell ref="O61:O63"/>
    <mergeCell ref="N61:N63"/>
    <mergeCell ref="D70:I73"/>
    <mergeCell ref="M70:M73"/>
    <mergeCell ref="N70:N73"/>
    <mergeCell ref="O70:O73"/>
    <mergeCell ref="P70:P73"/>
    <mergeCell ref="L71:L73"/>
    <mergeCell ref="K64:K66"/>
    <mergeCell ref="L64:L66"/>
    <mergeCell ref="M64:M66"/>
    <mergeCell ref="N64:N66"/>
    <mergeCell ref="O64:O66"/>
    <mergeCell ref="P67:P69"/>
    <mergeCell ref="P64:P66"/>
    <mergeCell ref="D64:J66"/>
  </mergeCells>
  <hyperlinks>
    <hyperlink ref="G1" location="Купол!A1" display="Купол"/>
    <hyperlink ref="H1" location="козырёк!A1" display="Козырьки"/>
    <hyperlink ref="J1" location="'Стены 1'!A1" display="Стены 1"/>
    <hyperlink ref="K1" location="Перекрытие2!A1" display="Перекрытие 2"/>
    <hyperlink ref="L1" location="Стены2!A1" display="Стены 2"/>
    <hyperlink ref="M1" location="Башня!A1" display="Обзорная башня"/>
    <hyperlink ref="P1" location="Доставка!A1" display="Окна"/>
    <hyperlink ref="F1" location="'Смета фунд.'!A1" display="Смета фундамента"/>
    <hyperlink ref="O1" location="Окна!A1" display="Окна"/>
    <hyperlink ref="D1" location="Главная!A1" display="Главная"/>
    <hyperlink ref="I1" location="'Перекрытия 1'!A1" display="Перекр.1"/>
    <hyperlink ref="E1" location="'Район фунд.'!A1" display="Район фундамента"/>
  </hyperlink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C1:S67"/>
  <sheetViews>
    <sheetView showGridLines="0" showRowColHeaders="0" workbookViewId="0">
      <pane ySplit="1" topLeftCell="A2" activePane="bottomLeft" state="frozen"/>
      <selection pane="bottomLeft" activeCell="M1" sqref="M1:N1"/>
    </sheetView>
  </sheetViews>
  <sheetFormatPr defaultRowHeight="14.5"/>
  <cols>
    <col min="1" max="3" width="2.7265625" customWidth="1"/>
    <col min="4" max="16" width="9.1796875" customWidth="1"/>
  </cols>
  <sheetData>
    <row r="1" spans="3:19" ht="18" customHeight="1" thickTop="1" thickBot="1">
      <c r="D1" s="204" t="s">
        <v>2612</v>
      </c>
      <c r="E1" s="320" t="s">
        <v>2682</v>
      </c>
      <c r="F1" s="320" t="s">
        <v>2662</v>
      </c>
      <c r="G1" s="320" t="s">
        <v>2603</v>
      </c>
      <c r="H1" s="320" t="s">
        <v>2604</v>
      </c>
      <c r="I1" s="320" t="s">
        <v>2613</v>
      </c>
      <c r="J1" s="320" t="s">
        <v>2607</v>
      </c>
      <c r="K1" s="320" t="s">
        <v>2614</v>
      </c>
      <c r="L1" s="323" t="s">
        <v>2608</v>
      </c>
      <c r="M1" s="519" t="s">
        <v>2605</v>
      </c>
      <c r="N1" s="520"/>
      <c r="O1" s="320" t="s">
        <v>2606</v>
      </c>
      <c r="P1" s="320" t="s">
        <v>2634</v>
      </c>
    </row>
    <row r="2" spans="3:19" ht="14.5" customHeight="1" thickTop="1">
      <c r="C2" s="322"/>
      <c r="D2" s="913" t="s">
        <v>2592</v>
      </c>
      <c r="E2" s="817"/>
      <c r="F2" s="817"/>
      <c r="G2" s="817"/>
      <c r="H2" s="817"/>
      <c r="I2" s="817"/>
      <c r="J2" s="817"/>
      <c r="K2" s="817"/>
      <c r="L2" s="817"/>
      <c r="M2" s="817"/>
      <c r="N2" s="817"/>
      <c r="O2" s="817"/>
      <c r="P2" s="914"/>
    </row>
    <row r="3" spans="3:19" ht="14.5" customHeight="1" thickBot="1">
      <c r="C3" s="322"/>
      <c r="D3" s="915"/>
      <c r="E3" s="819"/>
      <c r="F3" s="819"/>
      <c r="G3" s="819"/>
      <c r="H3" s="819"/>
      <c r="I3" s="819"/>
      <c r="J3" s="819"/>
      <c r="K3" s="819"/>
      <c r="L3" s="819"/>
      <c r="M3" s="819"/>
      <c r="N3" s="819"/>
      <c r="O3" s="819"/>
      <c r="P3" s="916"/>
    </row>
    <row r="4" spans="3:19" ht="39" customHeight="1" thickTop="1" thickBot="1">
      <c r="D4" s="903" t="s">
        <v>0</v>
      </c>
      <c r="E4" s="904"/>
      <c r="F4" s="904"/>
      <c r="G4" s="904"/>
      <c r="H4" s="904"/>
      <c r="I4" s="904"/>
      <c r="J4" s="905"/>
      <c r="K4" s="906" t="s">
        <v>1</v>
      </c>
      <c r="L4" s="907"/>
      <c r="M4" s="906" t="s">
        <v>2</v>
      </c>
      <c r="N4" s="907"/>
      <c r="O4" s="911" t="s">
        <v>3</v>
      </c>
      <c r="P4" s="912"/>
      <c r="S4" s="116"/>
    </row>
    <row r="5" spans="3:19" ht="19.5" customHeight="1" thickTop="1">
      <c r="D5" s="908" t="s">
        <v>2112</v>
      </c>
      <c r="E5" s="909"/>
      <c r="F5" s="909"/>
      <c r="G5" s="909"/>
      <c r="H5" s="909"/>
      <c r="I5" s="909"/>
      <c r="J5" s="910"/>
      <c r="K5" s="407">
        <v>1</v>
      </c>
      <c r="L5" s="406" t="s">
        <v>11</v>
      </c>
      <c r="M5" s="407">
        <v>3500</v>
      </c>
      <c r="N5" s="408" t="str">
        <f>IF('из города'!$AG$9=3,"Дол.",IF('из города'!$AG$9=1,"Руб.","Грн."))</f>
        <v>Грн.</v>
      </c>
      <c r="O5" s="405">
        <f t="shared" ref="O5:O19" si="0">K5*M5</f>
        <v>3500</v>
      </c>
      <c r="P5" s="404" t="str">
        <f>IF('из города'!$AG$9=3,"Дол.",IF('из города'!$AG$9=1,"Руб.","Грн."))</f>
        <v>Грн.</v>
      </c>
      <c r="S5" s="116"/>
    </row>
    <row r="6" spans="3:19" s="397" customFormat="1" ht="19.5" customHeight="1">
      <c r="D6" s="648" t="s">
        <v>2765</v>
      </c>
      <c r="E6" s="649"/>
      <c r="F6" s="649"/>
      <c r="G6" s="649"/>
      <c r="H6" s="649"/>
      <c r="I6" s="649"/>
      <c r="J6" s="650"/>
      <c r="K6" s="372">
        <v>1</v>
      </c>
      <c r="L6" s="401" t="s">
        <v>11</v>
      </c>
      <c r="M6" s="372">
        <v>3500</v>
      </c>
      <c r="N6" s="402" t="str">
        <f>IF('из города'!$AG$9=3,"Дол.",IF('из города'!$AG$9=1,"Руб.","Грн."))</f>
        <v>Грн.</v>
      </c>
      <c r="O6" s="400">
        <f>K6*M6</f>
        <v>3500</v>
      </c>
      <c r="P6" s="403" t="str">
        <f>IF('из города'!$AG$9=3,"Дол.",IF('из города'!$AG$9=1,"Руб.","Грн."))</f>
        <v>Грн.</v>
      </c>
      <c r="S6" s="396"/>
    </row>
    <row r="7" spans="3:19" ht="19.5" customHeight="1">
      <c r="D7" s="884" t="s">
        <v>2686</v>
      </c>
      <c r="E7" s="885"/>
      <c r="F7" s="885"/>
      <c r="G7" s="885"/>
      <c r="H7" s="885"/>
      <c r="I7" s="885"/>
      <c r="J7" s="886"/>
      <c r="K7" s="353">
        <v>1</v>
      </c>
      <c r="L7" s="345" t="s">
        <v>11</v>
      </c>
      <c r="M7" s="353">
        <v>300</v>
      </c>
      <c r="N7" s="366" t="str">
        <f>IF('из города'!$AG$9=3,"Дол.",IF('из города'!$AG$9=1,"Руб.","Грн."))</f>
        <v>Грн.</v>
      </c>
      <c r="O7" s="343">
        <f t="shared" si="0"/>
        <v>300</v>
      </c>
      <c r="P7" s="342" t="str">
        <f>IF('из города'!$AG$9=3,"Дол.",IF('из города'!$AG$9=1,"Руб.","Грн."))</f>
        <v>Грн.</v>
      </c>
      <c r="S7" s="116"/>
    </row>
    <row r="8" spans="3:19" ht="19.5" customHeight="1">
      <c r="D8" s="884" t="s">
        <v>2111</v>
      </c>
      <c r="E8" s="885"/>
      <c r="F8" s="885"/>
      <c r="G8" s="885"/>
      <c r="H8" s="885"/>
      <c r="I8" s="885"/>
      <c r="J8" s="886"/>
      <c r="K8" s="353">
        <v>1</v>
      </c>
      <c r="L8" s="345" t="s">
        <v>12</v>
      </c>
      <c r="M8" s="353">
        <v>140</v>
      </c>
      <c r="N8" s="366" t="str">
        <f>IF('из города'!$AG$9=3,"Дол.",IF('из города'!$AG$9=1,"Руб.","Грн."))</f>
        <v>Грн.</v>
      </c>
      <c r="O8" s="343">
        <f t="shared" si="0"/>
        <v>140</v>
      </c>
      <c r="P8" s="342" t="str">
        <f>IF('из города'!$AG$9=3,"Дол.",IF('из города'!$AG$9=1,"Руб.","Грн."))</f>
        <v>Грн.</v>
      </c>
    </row>
    <row r="9" spans="3:19" ht="19.5" customHeight="1">
      <c r="D9" s="884" t="s">
        <v>2767</v>
      </c>
      <c r="E9" s="885"/>
      <c r="F9" s="885"/>
      <c r="G9" s="885"/>
      <c r="H9" s="885"/>
      <c r="I9" s="885"/>
      <c r="J9" s="886"/>
      <c r="K9" s="353">
        <v>1</v>
      </c>
      <c r="L9" s="345" t="s">
        <v>20</v>
      </c>
      <c r="M9" s="353">
        <v>350</v>
      </c>
      <c r="N9" s="366" t="str">
        <f>IF('из города'!$AG$9=3,"Дол.",IF('из города'!$AG$9=1,"Руб.","Грн."))</f>
        <v>Грн.</v>
      </c>
      <c r="O9" s="343">
        <f t="shared" si="0"/>
        <v>350</v>
      </c>
      <c r="P9" s="342" t="str">
        <f>IF('из города'!$AG$9=3,"Дол.",IF('из города'!$AG$9=1,"Руб.","Грн."))</f>
        <v>Грн.</v>
      </c>
    </row>
    <row r="10" spans="3:19" ht="19.5" customHeight="1">
      <c r="D10" s="887" t="s">
        <v>2116</v>
      </c>
      <c r="E10" s="888"/>
      <c r="F10" s="888"/>
      <c r="G10" s="888"/>
      <c r="H10" s="888"/>
      <c r="I10" s="888"/>
      <c r="J10" s="889"/>
      <c r="K10" s="353">
        <v>1</v>
      </c>
      <c r="L10" s="345" t="s">
        <v>21</v>
      </c>
      <c r="M10" s="353">
        <v>60</v>
      </c>
      <c r="N10" s="366" t="str">
        <f>IF('из города'!$AG$9=3,"Дол.",IF('из города'!$AG$9=1,"Руб.","Грн."))</f>
        <v>Грн.</v>
      </c>
      <c r="O10" s="343">
        <f t="shared" si="0"/>
        <v>60</v>
      </c>
      <c r="P10" s="342" t="str">
        <f>IF('из города'!$AG$9=3,"Дол.",IF('из города'!$AG$9=1,"Руб.","Грн."))</f>
        <v>Грн.</v>
      </c>
    </row>
    <row r="11" spans="3:19" ht="19.5" customHeight="1">
      <c r="D11" s="887" t="s">
        <v>2769</v>
      </c>
      <c r="E11" s="888"/>
      <c r="F11" s="888"/>
      <c r="G11" s="888"/>
      <c r="H11" s="888"/>
      <c r="I11" s="888"/>
      <c r="J11" s="889"/>
      <c r="K11" s="353">
        <v>1</v>
      </c>
      <c r="L11" s="345" t="s">
        <v>12</v>
      </c>
      <c r="M11" s="353">
        <v>80</v>
      </c>
      <c r="N11" s="366" t="str">
        <f>IF('из города'!$AG$9=3,"Дол.",IF('из города'!$AG$9=1,"Руб.","Грн."))</f>
        <v>Грн.</v>
      </c>
      <c r="O11" s="343">
        <f t="shared" si="0"/>
        <v>80</v>
      </c>
      <c r="P11" s="342" t="str">
        <f>IF('из города'!$AG$9=3,"Дол.",IF('из города'!$AG$9=1,"Руб.","Грн."))</f>
        <v>Грн.</v>
      </c>
    </row>
    <row r="12" spans="3:19" ht="19.5" customHeight="1">
      <c r="D12" s="887" t="s">
        <v>2117</v>
      </c>
      <c r="E12" s="888"/>
      <c r="F12" s="888"/>
      <c r="G12" s="888"/>
      <c r="H12" s="888"/>
      <c r="I12" s="888"/>
      <c r="J12" s="889"/>
      <c r="K12" s="353">
        <v>1</v>
      </c>
      <c r="L12" s="345" t="s">
        <v>23</v>
      </c>
      <c r="M12" s="353">
        <v>60</v>
      </c>
      <c r="N12" s="366" t="str">
        <f>IF('из города'!$AG$9=3,"Дол.",IF('из города'!$AG$9=1,"Руб.","Грн."))</f>
        <v>Грн.</v>
      </c>
      <c r="O12" s="343">
        <f t="shared" si="0"/>
        <v>60</v>
      </c>
      <c r="P12" s="342" t="str">
        <f>IF('из города'!$AG$9=3,"Дол.",IF('из города'!$AG$9=1,"Руб.","Грн."))</f>
        <v>Грн.</v>
      </c>
    </row>
    <row r="13" spans="3:19" ht="19.5" customHeight="1">
      <c r="D13" s="887" t="s">
        <v>2766</v>
      </c>
      <c r="E13" s="888"/>
      <c r="F13" s="888"/>
      <c r="G13" s="888"/>
      <c r="H13" s="888"/>
      <c r="I13" s="888"/>
      <c r="J13" s="889"/>
      <c r="K13" s="353">
        <v>1</v>
      </c>
      <c r="L13" s="345" t="s">
        <v>2688</v>
      </c>
      <c r="M13" s="353">
        <v>7</v>
      </c>
      <c r="N13" s="366" t="str">
        <f>IF('из города'!$AG$9=3,"Дол.",IF('из города'!$AG$9=1,"Руб.","Грн."))</f>
        <v>Грн.</v>
      </c>
      <c r="O13" s="350">
        <f t="shared" si="0"/>
        <v>7</v>
      </c>
      <c r="P13" s="342" t="str">
        <f>IF('из города'!$AG$9=3,"Дол.",IF('из города'!$AG$9=1,"Руб.","Грн."))</f>
        <v>Грн.</v>
      </c>
    </row>
    <row r="14" spans="3:19" ht="19.5" customHeight="1">
      <c r="D14" s="887" t="s">
        <v>2705</v>
      </c>
      <c r="E14" s="888"/>
      <c r="F14" s="888"/>
      <c r="G14" s="888"/>
      <c r="H14" s="888"/>
      <c r="I14" s="888"/>
      <c r="J14" s="889"/>
      <c r="K14" s="353">
        <f>K5+K6*12</f>
        <v>13</v>
      </c>
      <c r="L14" s="345" t="s">
        <v>12</v>
      </c>
      <c r="M14" s="353">
        <v>0</v>
      </c>
      <c r="N14" s="366" t="str">
        <f>IF('из города'!$AG$9=3,"Дол.",IF('из города'!$AG$9=1,"Руб.","Грн."))</f>
        <v>Грн.</v>
      </c>
      <c r="O14" s="350">
        <f t="shared" si="0"/>
        <v>0</v>
      </c>
      <c r="P14" s="342" t="str">
        <f>IF('из города'!$AG$9=3,"Дол.",IF('из города'!$AG$9=1,"Руб.","Грн."))</f>
        <v>Грн.</v>
      </c>
    </row>
    <row r="15" spans="3:19" ht="19.5" customHeight="1">
      <c r="D15" s="893" t="s">
        <v>2114</v>
      </c>
      <c r="E15" s="894"/>
      <c r="F15" s="894"/>
      <c r="G15" s="894"/>
      <c r="H15" s="894"/>
      <c r="I15" s="894"/>
      <c r="J15" s="902"/>
      <c r="K15" s="353">
        <v>0</v>
      </c>
      <c r="L15" s="365" t="s">
        <v>23</v>
      </c>
      <c r="M15" s="353">
        <v>0</v>
      </c>
      <c r="N15" s="366" t="str">
        <f>IF('из города'!$AG$9=3,"Дол.",IF('из города'!$AG$9=1,"Руб.","Грн."))</f>
        <v>Грн.</v>
      </c>
      <c r="O15" s="350">
        <f t="shared" si="0"/>
        <v>0</v>
      </c>
      <c r="P15" s="342" t="str">
        <f>IF('из города'!$AG$9=3,"Дол.",IF('из города'!$AG$9=1,"Руб.","Грн."))</f>
        <v>Грн.</v>
      </c>
    </row>
    <row r="16" spans="3:19" ht="19.5" customHeight="1">
      <c r="D16" s="893" t="s">
        <v>2114</v>
      </c>
      <c r="E16" s="894"/>
      <c r="F16" s="894"/>
      <c r="G16" s="894"/>
      <c r="H16" s="894"/>
      <c r="I16" s="894"/>
      <c r="J16" s="902"/>
      <c r="K16" s="353">
        <v>0</v>
      </c>
      <c r="L16" s="365" t="s">
        <v>23</v>
      </c>
      <c r="M16" s="353">
        <v>0</v>
      </c>
      <c r="N16" s="366" t="str">
        <f>IF('из города'!$AG$9=3,"Дол.",IF('из города'!$AG$9=1,"Руб.","Грн."))</f>
        <v>Грн.</v>
      </c>
      <c r="O16" s="350">
        <f t="shared" si="0"/>
        <v>0</v>
      </c>
      <c r="P16" s="342" t="str">
        <f>IF('из города'!$AG$9=3,"Дол.",IF('из города'!$AG$9=1,"Руб.","Грн."))</f>
        <v>Грн.</v>
      </c>
    </row>
    <row r="17" spans="3:18" ht="19.5" customHeight="1">
      <c r="D17" s="893" t="s">
        <v>2114</v>
      </c>
      <c r="E17" s="894"/>
      <c r="F17" s="894"/>
      <c r="G17" s="894"/>
      <c r="H17" s="894"/>
      <c r="I17" s="894"/>
      <c r="J17" s="902"/>
      <c r="K17" s="353">
        <v>0</v>
      </c>
      <c r="L17" s="365" t="s">
        <v>23</v>
      </c>
      <c r="M17" s="353">
        <v>0</v>
      </c>
      <c r="N17" s="366" t="str">
        <f>IF('из города'!$AG$9=3,"Дол.",IF('из города'!$AG$9=1,"Руб.","Грн."))</f>
        <v>Грн.</v>
      </c>
      <c r="O17" s="350">
        <f t="shared" si="0"/>
        <v>0</v>
      </c>
      <c r="P17" s="342" t="str">
        <f>IF('из города'!$AG$9=3,"Дол.",IF('из города'!$AG$9=1,"Руб.","Грн."))</f>
        <v>Грн.</v>
      </c>
    </row>
    <row r="18" spans="3:18" ht="19.5" customHeight="1">
      <c r="D18" s="893" t="s">
        <v>2114</v>
      </c>
      <c r="E18" s="894"/>
      <c r="F18" s="894"/>
      <c r="G18" s="894"/>
      <c r="H18" s="894"/>
      <c r="I18" s="894"/>
      <c r="J18" s="902"/>
      <c r="K18" s="353">
        <v>0</v>
      </c>
      <c r="L18" s="365" t="s">
        <v>23</v>
      </c>
      <c r="M18" s="353">
        <v>0</v>
      </c>
      <c r="N18" s="366" t="str">
        <f>IF('из города'!$AG$9=3,"Дол.",IF('из города'!$AG$9=1,"Руб.","Грн."))</f>
        <v>Грн.</v>
      </c>
      <c r="O18" s="350">
        <f t="shared" si="0"/>
        <v>0</v>
      </c>
      <c r="P18" s="342" t="str">
        <f>IF('из города'!$AG$9=3,"Дол.",IF('из города'!$AG$9=1,"Руб.","Грн."))</f>
        <v>Грн.</v>
      </c>
    </row>
    <row r="19" spans="3:18" ht="19.5" customHeight="1">
      <c r="D19" s="893" t="s">
        <v>2114</v>
      </c>
      <c r="E19" s="894"/>
      <c r="F19" s="894"/>
      <c r="G19" s="894"/>
      <c r="H19" s="894"/>
      <c r="I19" s="894"/>
      <c r="J19" s="902"/>
      <c r="K19" s="353">
        <v>0</v>
      </c>
      <c r="L19" s="365" t="s">
        <v>23</v>
      </c>
      <c r="M19" s="353">
        <v>0</v>
      </c>
      <c r="N19" s="366" t="str">
        <f>IF('из города'!$AG$9=3,"Дол.",IF('из города'!$AG$9=1,"Руб.","Грн."))</f>
        <v>Грн.</v>
      </c>
      <c r="O19" s="350">
        <f t="shared" si="0"/>
        <v>0</v>
      </c>
      <c r="P19" s="342" t="str">
        <f>IF('из города'!$AG$9=3,"Дол.",IF('из города'!$AG$9=1,"Руб.","Грн."))</f>
        <v>Грн.</v>
      </c>
    </row>
    <row r="20" spans="3:18" ht="19.5" customHeight="1">
      <c r="D20" s="884" t="s">
        <v>2675</v>
      </c>
      <c r="E20" s="885"/>
      <c r="F20" s="885"/>
      <c r="G20" s="885"/>
      <c r="H20" s="885"/>
      <c r="I20" s="885"/>
      <c r="J20" s="886"/>
      <c r="K20" s="359">
        <v>4</v>
      </c>
      <c r="L20" s="365" t="s">
        <v>2676</v>
      </c>
      <c r="M20" s="353">
        <v>7</v>
      </c>
      <c r="N20" s="366" t="str">
        <f>IF('из города'!$AG$9=3,"Дол.",IF('из города'!$AG$9=1,"Руб.","Грн."))</f>
        <v>Грн.</v>
      </c>
      <c r="O20" s="343">
        <f t="shared" ref="O20:O30" si="1">K20*M20</f>
        <v>28</v>
      </c>
      <c r="P20" s="342" t="str">
        <f>IF('из города'!$AG$9=3,"Дол.",IF('из города'!$AG$9=1,"Руб.","Грн."))</f>
        <v>Грн.</v>
      </c>
    </row>
    <row r="21" spans="3:18" ht="19.5" customHeight="1">
      <c r="D21" s="884" t="s">
        <v>2664</v>
      </c>
      <c r="E21" s="885"/>
      <c r="F21" s="885"/>
      <c r="G21" s="885"/>
      <c r="H21" s="885"/>
      <c r="I21" s="885"/>
      <c r="J21" s="886"/>
      <c r="K21" s="359">
        <v>10</v>
      </c>
      <c r="L21" s="365" t="s">
        <v>2641</v>
      </c>
      <c r="M21" s="353">
        <v>2</v>
      </c>
      <c r="N21" s="366" t="str">
        <f>IF('из города'!$AG$9=3,"Дол.",IF('из города'!$AG$9=1,"Руб.","Грн."))</f>
        <v>Грн.</v>
      </c>
      <c r="O21" s="343">
        <f t="shared" si="1"/>
        <v>20</v>
      </c>
      <c r="P21" s="342" t="str">
        <f>IF('из города'!$AG$9=3,"Дол.",IF('из города'!$AG$9=1,"Руб.","Грн."))</f>
        <v>Грн.</v>
      </c>
    </row>
    <row r="22" spans="3:18" ht="19.5" customHeight="1">
      <c r="D22" s="884" t="s">
        <v>2653</v>
      </c>
      <c r="E22" s="885"/>
      <c r="F22" s="885"/>
      <c r="G22" s="885"/>
      <c r="H22" s="885"/>
      <c r="I22" s="885"/>
      <c r="J22" s="886"/>
      <c r="K22" s="359">
        <v>1</v>
      </c>
      <c r="L22" s="365" t="s">
        <v>2639</v>
      </c>
      <c r="M22" s="353">
        <v>20</v>
      </c>
      <c r="N22" s="366" t="str">
        <f>IF('из города'!$AG$9=3,"Дол.",IF('из города'!$AG$9=1,"Руб.","Грн."))</f>
        <v>Грн.</v>
      </c>
      <c r="O22" s="343">
        <f t="shared" si="1"/>
        <v>20</v>
      </c>
      <c r="P22" s="342" t="str">
        <f>IF('из города'!$AG$9=3,"Дол.",IF('из города'!$AG$9=1,"Руб.","Грн."))</f>
        <v>Грн.</v>
      </c>
    </row>
    <row r="23" spans="3:18" ht="19.5" customHeight="1">
      <c r="D23" s="884" t="s">
        <v>2652</v>
      </c>
      <c r="E23" s="885"/>
      <c r="F23" s="885"/>
      <c r="G23" s="885"/>
      <c r="H23" s="885"/>
      <c r="I23" s="885"/>
      <c r="J23" s="886"/>
      <c r="K23" s="359">
        <v>10</v>
      </c>
      <c r="L23" s="365" t="s">
        <v>2639</v>
      </c>
      <c r="M23" s="353">
        <v>5</v>
      </c>
      <c r="N23" s="366" t="str">
        <f>IF('из города'!$AG$9=3,"Дол.",IF('из города'!$AG$9=1,"Руб.","Грн."))</f>
        <v>Грн.</v>
      </c>
      <c r="O23" s="343">
        <f t="shared" si="1"/>
        <v>50</v>
      </c>
      <c r="P23" s="342" t="str">
        <f>IF('из города'!$AG$9=3,"Дол.",IF('из города'!$AG$9=1,"Руб.","Грн."))</f>
        <v>Грн.</v>
      </c>
    </row>
    <row r="24" spans="3:18" ht="19.5" customHeight="1">
      <c r="D24" s="884" t="s">
        <v>2674</v>
      </c>
      <c r="E24" s="885"/>
      <c r="F24" s="885"/>
      <c r="G24" s="885"/>
      <c r="H24" s="885"/>
      <c r="I24" s="885"/>
      <c r="J24" s="886"/>
      <c r="K24" s="359">
        <v>0</v>
      </c>
      <c r="L24" s="365" t="s">
        <v>2647</v>
      </c>
      <c r="M24" s="353">
        <v>70</v>
      </c>
      <c r="N24" s="366" t="str">
        <f>IF('из города'!$AG$9=3,"Дол.",IF('из города'!$AG$9=1,"Руб.","Грн."))</f>
        <v>Грн.</v>
      </c>
      <c r="O24" s="343">
        <f t="shared" si="1"/>
        <v>0</v>
      </c>
      <c r="P24" s="342" t="str">
        <f>IF('из города'!$AG$9=3,"Дол.",IF('из города'!$AG$9=1,"Руб.","Грн."))</f>
        <v>Грн.</v>
      </c>
    </row>
    <row r="25" spans="3:18" ht="19.5" customHeight="1">
      <c r="D25" s="896" t="s">
        <v>2660</v>
      </c>
      <c r="E25" s="897"/>
      <c r="F25" s="897"/>
      <c r="G25" s="897"/>
      <c r="H25" s="897"/>
      <c r="I25" s="897"/>
      <c r="J25" s="898"/>
      <c r="K25" s="359">
        <v>6</v>
      </c>
      <c r="L25" s="365" t="s">
        <v>2661</v>
      </c>
      <c r="M25" s="353">
        <v>15</v>
      </c>
      <c r="N25" s="367" t="str">
        <f>IF('из города'!$AG$9=3,"Дол.",IF('из города'!$AG$9=1,"Руб.","Грн."))</f>
        <v>Грн.</v>
      </c>
      <c r="O25" s="343">
        <f t="shared" si="1"/>
        <v>90</v>
      </c>
      <c r="P25" s="342" t="str">
        <f>IF('из города'!$AG$9=3,"Дол.",IF('из города'!$AG$9=1,"Руб.","Грн."))</f>
        <v>Грн.</v>
      </c>
    </row>
    <row r="26" spans="3:18" ht="19.5" customHeight="1">
      <c r="D26" s="899" t="s">
        <v>2658</v>
      </c>
      <c r="E26" s="900"/>
      <c r="F26" s="900"/>
      <c r="G26" s="900"/>
      <c r="H26" s="900"/>
      <c r="I26" s="900"/>
      <c r="J26" s="901"/>
      <c r="K26" s="359">
        <v>1</v>
      </c>
      <c r="L26" s="365" t="s">
        <v>2647</v>
      </c>
      <c r="M26" s="353">
        <v>0</v>
      </c>
      <c r="N26" s="366" t="str">
        <f>IF('из города'!$AG$9=3,"Дол.",IF('из города'!$AG$9=1,"Руб.","Грн."))</f>
        <v>Грн.</v>
      </c>
      <c r="O26" s="343">
        <f t="shared" si="1"/>
        <v>0</v>
      </c>
      <c r="P26" s="342" t="str">
        <f>IF('из города'!$AG$9=3,"Дол.",IF('из города'!$AG$9=1,"Руб.","Грн."))</f>
        <v>Грн.</v>
      </c>
    </row>
    <row r="27" spans="3:18" ht="19.5" customHeight="1">
      <c r="D27" s="899" t="s">
        <v>2658</v>
      </c>
      <c r="E27" s="900"/>
      <c r="F27" s="900"/>
      <c r="G27" s="900"/>
      <c r="H27" s="900"/>
      <c r="I27" s="900"/>
      <c r="J27" s="901"/>
      <c r="K27" s="359">
        <v>1</v>
      </c>
      <c r="L27" s="365" t="s">
        <v>2647</v>
      </c>
      <c r="M27" s="353">
        <v>0</v>
      </c>
      <c r="N27" s="366" t="str">
        <f>IF('из города'!$AG$9=3,"Дол.",IF('из города'!$AG$9=1,"Руб.","Грн."))</f>
        <v>Грн.</v>
      </c>
      <c r="O27" s="343">
        <f t="shared" si="1"/>
        <v>0</v>
      </c>
      <c r="P27" s="342" t="str">
        <f>IF('из города'!$AG$9=3,"Дол.",IF('из города'!$AG$9=1,"Руб.","Грн."))</f>
        <v>Грн.</v>
      </c>
    </row>
    <row r="28" spans="3:18" ht="19.5" customHeight="1">
      <c r="D28" s="899" t="s">
        <v>2658</v>
      </c>
      <c r="E28" s="900"/>
      <c r="F28" s="900"/>
      <c r="G28" s="900"/>
      <c r="H28" s="900"/>
      <c r="I28" s="900"/>
      <c r="J28" s="901"/>
      <c r="K28" s="359">
        <v>1</v>
      </c>
      <c r="L28" s="365" t="s">
        <v>2647</v>
      </c>
      <c r="M28" s="353">
        <v>0</v>
      </c>
      <c r="N28" s="366" t="str">
        <f>IF('из города'!$AG$9=3,"Дол.",IF('из города'!$AG$9=1,"Руб.","Грн."))</f>
        <v>Грн.</v>
      </c>
      <c r="O28" s="343">
        <f t="shared" si="1"/>
        <v>0</v>
      </c>
      <c r="P28" s="342" t="str">
        <f>IF('из города'!$AG$9=3,"Дол.",IF('из города'!$AG$9=1,"Руб.","Грн."))</f>
        <v>Грн.</v>
      </c>
    </row>
    <row r="29" spans="3:18" ht="19.5" customHeight="1">
      <c r="D29" s="653" t="s">
        <v>2658</v>
      </c>
      <c r="E29" s="654"/>
      <c r="F29" s="654"/>
      <c r="G29" s="654"/>
      <c r="H29" s="654"/>
      <c r="I29" s="654"/>
      <c r="J29" s="655"/>
      <c r="K29" s="338">
        <v>1</v>
      </c>
      <c r="L29" s="339" t="s">
        <v>2647</v>
      </c>
      <c r="M29" s="335">
        <v>0</v>
      </c>
      <c r="N29" s="336" t="str">
        <f>IF('из города'!$AG$9=3,"Дол.",IF('из города'!$AG$9=1,"Руб.","Грн."))</f>
        <v>Грн.</v>
      </c>
      <c r="O29" s="333">
        <f t="shared" si="1"/>
        <v>0</v>
      </c>
      <c r="P29" s="331" t="str">
        <f>IF('из города'!$AG$9=3,"Дол.",IF('из города'!$AG$9=1,"Руб.","Грн."))</f>
        <v>Грн.</v>
      </c>
    </row>
    <row r="30" spans="3:18" ht="19.5" customHeight="1">
      <c r="D30" s="653" t="s">
        <v>2658</v>
      </c>
      <c r="E30" s="654"/>
      <c r="F30" s="654"/>
      <c r="G30" s="654"/>
      <c r="H30" s="654"/>
      <c r="I30" s="654"/>
      <c r="J30" s="655"/>
      <c r="K30" s="338">
        <v>1</v>
      </c>
      <c r="L30" s="339" t="s">
        <v>2647</v>
      </c>
      <c r="M30" s="335">
        <v>0</v>
      </c>
      <c r="N30" s="336" t="str">
        <f>IF('из города'!$AG$9=3,"Дол.",IF('из города'!$AG$9=1,"Руб.","Грн."))</f>
        <v>Грн.</v>
      </c>
      <c r="O30" s="343">
        <f t="shared" si="1"/>
        <v>0</v>
      </c>
      <c r="P30" s="331" t="str">
        <f>IF('из города'!$AG$9=3,"Дол.",IF('из города'!$AG$9=1,"Руб.","Грн."))</f>
        <v>Грн.</v>
      </c>
    </row>
    <row r="31" spans="3:18" ht="31.5" customHeight="1" thickBot="1">
      <c r="C31" s="285" t="b">
        <v>0</v>
      </c>
      <c r="D31" s="917" t="s">
        <v>15</v>
      </c>
      <c r="E31" s="918"/>
      <c r="F31" s="918"/>
      <c r="G31" s="918"/>
      <c r="H31" s="918"/>
      <c r="I31" s="918"/>
      <c r="J31" s="918"/>
      <c r="K31" s="360">
        <f>O31/R31</f>
        <v>0</v>
      </c>
      <c r="L31" s="361" t="s">
        <v>17</v>
      </c>
      <c r="M31" s="361"/>
      <c r="N31" s="362"/>
      <c r="O31" s="363">
        <f>IF(C31=TRUE,SUM(O5:O30),0)</f>
        <v>0</v>
      </c>
      <c r="P31" s="364" t="str">
        <f>IF('из города'!$AG$9=3,"Дол.",IF('из города'!$AG$9=1,"Руб.","Грн."))</f>
        <v>Грн.</v>
      </c>
      <c r="Q31" s="415"/>
      <c r="R31" s="114">
        <f>Главная!O9</f>
        <v>26</v>
      </c>
    </row>
    <row r="32" spans="3:18" ht="21" customHeight="1" thickTop="1">
      <c r="C32" s="174"/>
      <c r="D32" s="357"/>
      <c r="E32" s="357"/>
      <c r="F32" s="357"/>
      <c r="G32" s="357"/>
      <c r="H32" s="357"/>
      <c r="I32" s="357"/>
      <c r="J32" s="356"/>
      <c r="K32" s="356"/>
      <c r="L32" s="356"/>
      <c r="M32" s="356"/>
      <c r="N32" s="356"/>
      <c r="O32" s="358"/>
    </row>
    <row r="33" spans="3:16" ht="21" customHeight="1" thickBot="1">
      <c r="C33" s="174"/>
      <c r="D33" s="357"/>
      <c r="E33" s="357"/>
      <c r="F33" s="357"/>
      <c r="G33" s="357"/>
      <c r="H33" s="357"/>
      <c r="I33" s="357"/>
      <c r="J33" s="356"/>
      <c r="K33" s="356"/>
      <c r="L33" s="356"/>
      <c r="M33" s="356"/>
      <c r="N33" s="356"/>
      <c r="O33" s="358"/>
      <c r="P33" s="266"/>
    </row>
    <row r="34" spans="3:16" ht="16" customHeight="1" thickTop="1">
      <c r="C34" s="174"/>
      <c r="D34" s="706" t="s">
        <v>2718</v>
      </c>
      <c r="E34" s="697"/>
      <c r="F34" s="697"/>
      <c r="G34" s="697"/>
      <c r="H34" s="697"/>
      <c r="I34" s="697"/>
      <c r="J34" s="697"/>
      <c r="K34" s="697"/>
      <c r="L34" s="697"/>
      <c r="M34" s="697"/>
      <c r="N34" s="697"/>
      <c r="O34" s="697"/>
      <c r="P34" s="697"/>
    </row>
    <row r="35" spans="3:16" ht="16" customHeight="1" thickBot="1">
      <c r="C35" s="174"/>
      <c r="D35" s="849"/>
      <c r="E35" s="698"/>
      <c r="F35" s="698"/>
      <c r="G35" s="698"/>
      <c r="H35" s="698"/>
      <c r="I35" s="698"/>
      <c r="J35" s="698"/>
      <c r="K35" s="698"/>
      <c r="L35" s="698"/>
      <c r="M35" s="698"/>
      <c r="N35" s="698"/>
      <c r="O35" s="698"/>
      <c r="P35" s="698"/>
    </row>
    <row r="36" spans="3:16" ht="13" customHeight="1" thickTop="1">
      <c r="C36" s="174"/>
      <c r="D36" s="504" t="s">
        <v>2737</v>
      </c>
      <c r="E36" s="712"/>
      <c r="F36" s="712"/>
      <c r="G36" s="712"/>
      <c r="H36" s="712"/>
      <c r="I36" s="712"/>
      <c r="J36" s="713"/>
      <c r="K36" s="477" t="s">
        <v>2738</v>
      </c>
      <c r="L36" s="479"/>
      <c r="M36" s="477" t="s">
        <v>2</v>
      </c>
      <c r="N36" s="479"/>
      <c r="O36" s="478" t="s">
        <v>2749</v>
      </c>
      <c r="P36" s="479"/>
    </row>
    <row r="37" spans="3:16" ht="13" customHeight="1">
      <c r="D37" s="714"/>
      <c r="E37" s="850"/>
      <c r="F37" s="850"/>
      <c r="G37" s="850"/>
      <c r="H37" s="850"/>
      <c r="I37" s="850"/>
      <c r="J37" s="716"/>
      <c r="K37" s="480"/>
      <c r="L37" s="482"/>
      <c r="M37" s="480"/>
      <c r="N37" s="482"/>
      <c r="O37" s="481"/>
      <c r="P37" s="482"/>
    </row>
    <row r="38" spans="3:16" ht="13" customHeight="1" thickBot="1">
      <c r="D38" s="717"/>
      <c r="E38" s="710"/>
      <c r="F38" s="710"/>
      <c r="G38" s="710"/>
      <c r="H38" s="710"/>
      <c r="I38" s="710"/>
      <c r="J38" s="711"/>
      <c r="K38" s="483"/>
      <c r="L38" s="485"/>
      <c r="M38" s="483"/>
      <c r="N38" s="485"/>
      <c r="O38" s="484"/>
      <c r="P38" s="485"/>
    </row>
    <row r="39" spans="3:16" ht="8.5" customHeight="1" thickTop="1">
      <c r="D39" s="730" t="s">
        <v>2747</v>
      </c>
      <c r="E39" s="731"/>
      <c r="F39" s="731"/>
      <c r="G39" s="731"/>
      <c r="H39" s="731"/>
      <c r="I39" s="731"/>
      <c r="J39" s="814"/>
      <c r="K39" s="861">
        <v>0</v>
      </c>
      <c r="L39" s="687" t="s">
        <v>13</v>
      </c>
      <c r="M39" s="668">
        <v>100</v>
      </c>
      <c r="N39" s="666" t="str">
        <f>IF('из города'!$AG$9=3,"Дол.",IF('из города'!$AG$9=1,"Руб.","Грн."))</f>
        <v>Грн.</v>
      </c>
      <c r="O39" s="664">
        <f>K39*M39</f>
        <v>0</v>
      </c>
      <c r="P39" s="652" t="str">
        <f>IF('из города'!$AG$9=3,"Дол.",IF('из города'!$AG$9=1,"Руб.","Грн."))</f>
        <v>Грн.</v>
      </c>
    </row>
    <row r="40" spans="3:16" ht="8.5" customHeight="1">
      <c r="D40" s="645"/>
      <c r="E40" s="646"/>
      <c r="F40" s="646"/>
      <c r="G40" s="646"/>
      <c r="H40" s="646"/>
      <c r="I40" s="646"/>
      <c r="J40" s="647"/>
      <c r="K40" s="861"/>
      <c r="L40" s="687"/>
      <c r="M40" s="668"/>
      <c r="N40" s="666"/>
      <c r="O40" s="664"/>
      <c r="P40" s="652"/>
    </row>
    <row r="41" spans="3:16" ht="8.5" customHeight="1">
      <c r="D41" s="648"/>
      <c r="E41" s="649"/>
      <c r="F41" s="649"/>
      <c r="G41" s="649"/>
      <c r="H41" s="649"/>
      <c r="I41" s="649"/>
      <c r="J41" s="650"/>
      <c r="K41" s="862"/>
      <c r="L41" s="688"/>
      <c r="M41" s="689"/>
      <c r="N41" s="681"/>
      <c r="O41" s="682"/>
      <c r="P41" s="690"/>
    </row>
    <row r="42" spans="3:16" ht="8.5" customHeight="1">
      <c r="D42" s="738" t="s">
        <v>2755</v>
      </c>
      <c r="E42" s="739"/>
      <c r="F42" s="739"/>
      <c r="G42" s="739"/>
      <c r="H42" s="739"/>
      <c r="I42" s="739"/>
      <c r="J42" s="842"/>
      <c r="K42" s="861">
        <v>0</v>
      </c>
      <c r="L42" s="687" t="s">
        <v>13</v>
      </c>
      <c r="M42" s="667">
        <v>30</v>
      </c>
      <c r="N42" s="665" t="str">
        <f>IF('из города'!$AG$9=3,"Дол.",IF('из города'!$AG$9=1,"Руб.","Грн."))</f>
        <v>Грн.</v>
      </c>
      <c r="O42" s="663">
        <f>K42*M42</f>
        <v>0</v>
      </c>
      <c r="P42" s="651" t="str">
        <f>IF('из города'!$AG$9=3,"Дол.",IF('из города'!$AG$9=1,"Руб.","Грн."))</f>
        <v>Грн.</v>
      </c>
    </row>
    <row r="43" spans="3:16" ht="8.5" customHeight="1">
      <c r="D43" s="740"/>
      <c r="E43" s="741"/>
      <c r="F43" s="741"/>
      <c r="G43" s="741"/>
      <c r="H43" s="741"/>
      <c r="I43" s="741"/>
      <c r="J43" s="843"/>
      <c r="K43" s="861"/>
      <c r="L43" s="687"/>
      <c r="M43" s="668"/>
      <c r="N43" s="666"/>
      <c r="O43" s="664"/>
      <c r="P43" s="652"/>
    </row>
    <row r="44" spans="3:16" ht="8.5" customHeight="1">
      <c r="D44" s="742"/>
      <c r="E44" s="743"/>
      <c r="F44" s="743"/>
      <c r="G44" s="743"/>
      <c r="H44" s="743"/>
      <c r="I44" s="743"/>
      <c r="J44" s="844"/>
      <c r="K44" s="862"/>
      <c r="L44" s="688"/>
      <c r="M44" s="689"/>
      <c r="N44" s="681"/>
      <c r="O44" s="682"/>
      <c r="P44" s="690"/>
    </row>
    <row r="45" spans="3:16" ht="8.5" customHeight="1">
      <c r="D45" s="677" t="s">
        <v>2758</v>
      </c>
      <c r="E45" s="643"/>
      <c r="F45" s="643"/>
      <c r="G45" s="643"/>
      <c r="H45" s="643"/>
      <c r="I45" s="643"/>
      <c r="J45" s="644"/>
      <c r="K45" s="853">
        <v>0</v>
      </c>
      <c r="L45" s="687" t="s">
        <v>13</v>
      </c>
      <c r="M45" s="667">
        <v>30</v>
      </c>
      <c r="N45" s="665" t="str">
        <f>IF('из города'!$AG$9=3,"Дол.",IF('из города'!$AG$9=1,"Руб.","Грн."))</f>
        <v>Грн.</v>
      </c>
      <c r="O45" s="663">
        <f>K45*M45</f>
        <v>0</v>
      </c>
      <c r="P45" s="651" t="str">
        <f>IF('из города'!$AG$9=3,"Дол.",IF('из города'!$AG$9=1,"Руб.","Грн."))</f>
        <v>Грн.</v>
      </c>
    </row>
    <row r="46" spans="3:16" ht="8.5" customHeight="1">
      <c r="D46" s="645"/>
      <c r="E46" s="646"/>
      <c r="F46" s="646"/>
      <c r="G46" s="646"/>
      <c r="H46" s="646"/>
      <c r="I46" s="646"/>
      <c r="J46" s="647"/>
      <c r="K46" s="854"/>
      <c r="L46" s="687"/>
      <c r="M46" s="668"/>
      <c r="N46" s="666"/>
      <c r="O46" s="664"/>
      <c r="P46" s="652"/>
    </row>
    <row r="47" spans="3:16" ht="8.5" customHeight="1">
      <c r="D47" s="648"/>
      <c r="E47" s="649"/>
      <c r="F47" s="649"/>
      <c r="G47" s="649"/>
      <c r="H47" s="649"/>
      <c r="I47" s="649"/>
      <c r="J47" s="650"/>
      <c r="K47" s="855"/>
      <c r="L47" s="688"/>
      <c r="M47" s="689"/>
      <c r="N47" s="681"/>
      <c r="O47" s="682"/>
      <c r="P47" s="690"/>
    </row>
    <row r="48" spans="3:16" ht="8.5" customHeight="1">
      <c r="D48" s="677" t="s">
        <v>2751</v>
      </c>
      <c r="E48" s="643"/>
      <c r="F48" s="643"/>
      <c r="G48" s="643"/>
      <c r="H48" s="643"/>
      <c r="I48" s="643"/>
      <c r="J48" s="644"/>
      <c r="K48" s="853">
        <v>0</v>
      </c>
      <c r="L48" s="687" t="s">
        <v>13</v>
      </c>
      <c r="M48" s="667">
        <v>30</v>
      </c>
      <c r="N48" s="665" t="str">
        <f>IF('из города'!$AG$9=3,"Дол.",IF('из города'!$AG$9=1,"Руб.","Грн."))</f>
        <v>Грн.</v>
      </c>
      <c r="O48" s="663">
        <f>K48*M48</f>
        <v>0</v>
      </c>
      <c r="P48" s="651" t="str">
        <f>IF('из города'!$AG$9=3,"Дол.",IF('из города'!$AG$9=1,"Руб.","Грн."))</f>
        <v>Грн.</v>
      </c>
    </row>
    <row r="49" spans="3:16" ht="8.5" customHeight="1">
      <c r="D49" s="645"/>
      <c r="E49" s="646"/>
      <c r="F49" s="646"/>
      <c r="G49" s="646"/>
      <c r="H49" s="646"/>
      <c r="I49" s="646"/>
      <c r="J49" s="647"/>
      <c r="K49" s="854"/>
      <c r="L49" s="687"/>
      <c r="M49" s="668"/>
      <c r="N49" s="666"/>
      <c r="O49" s="664"/>
      <c r="P49" s="652"/>
    </row>
    <row r="50" spans="3:16" ht="8.5" customHeight="1">
      <c r="D50" s="648"/>
      <c r="E50" s="649"/>
      <c r="F50" s="649"/>
      <c r="G50" s="649"/>
      <c r="H50" s="649"/>
      <c r="I50" s="649"/>
      <c r="J50" s="650"/>
      <c r="K50" s="855"/>
      <c r="L50" s="688"/>
      <c r="M50" s="689"/>
      <c r="N50" s="681"/>
      <c r="O50" s="682"/>
      <c r="P50" s="690"/>
    </row>
    <row r="51" spans="3:16" ht="8.5" customHeight="1">
      <c r="D51" s="677" t="s">
        <v>2759</v>
      </c>
      <c r="E51" s="643"/>
      <c r="F51" s="643"/>
      <c r="G51" s="643"/>
      <c r="H51" s="643"/>
      <c r="I51" s="643"/>
      <c r="J51" s="644"/>
      <c r="K51" s="853">
        <v>0</v>
      </c>
      <c r="L51" s="687" t="s">
        <v>13</v>
      </c>
      <c r="M51" s="667">
        <v>10</v>
      </c>
      <c r="N51" s="665" t="str">
        <f>IF('из города'!$AG$9=3,"Дол.",IF('из города'!$AG$9=1,"Руб.","Грн."))</f>
        <v>Грн.</v>
      </c>
      <c r="O51" s="663">
        <f>K51*M51</f>
        <v>0</v>
      </c>
      <c r="P51" s="651" t="str">
        <f>IF('из города'!$AG$9=3,"Дол.",IF('из города'!$AG$9=1,"Руб.","Грн."))</f>
        <v>Грн.</v>
      </c>
    </row>
    <row r="52" spans="3:16" ht="8.5" customHeight="1">
      <c r="D52" s="645"/>
      <c r="E52" s="646"/>
      <c r="F52" s="646"/>
      <c r="G52" s="646"/>
      <c r="H52" s="646"/>
      <c r="I52" s="646"/>
      <c r="J52" s="647"/>
      <c r="K52" s="854"/>
      <c r="L52" s="687"/>
      <c r="M52" s="668"/>
      <c r="N52" s="666"/>
      <c r="O52" s="664"/>
      <c r="P52" s="652"/>
    </row>
    <row r="53" spans="3:16" ht="8.5" customHeight="1">
      <c r="D53" s="648"/>
      <c r="E53" s="649"/>
      <c r="F53" s="649"/>
      <c r="G53" s="649"/>
      <c r="H53" s="649"/>
      <c r="I53" s="649"/>
      <c r="J53" s="650"/>
      <c r="K53" s="855"/>
      <c r="L53" s="688"/>
      <c r="M53" s="689"/>
      <c r="N53" s="681"/>
      <c r="O53" s="682"/>
      <c r="P53" s="690"/>
    </row>
    <row r="54" spans="3:16" ht="8.5" customHeight="1">
      <c r="D54" s="677" t="s">
        <v>2760</v>
      </c>
      <c r="E54" s="643"/>
      <c r="F54" s="643"/>
      <c r="G54" s="643"/>
      <c r="H54" s="643"/>
      <c r="I54" s="643"/>
      <c r="J54" s="644"/>
      <c r="K54" s="853">
        <v>0</v>
      </c>
      <c r="L54" s="686" t="s">
        <v>2761</v>
      </c>
      <c r="M54" s="667">
        <v>0</v>
      </c>
      <c r="N54" s="665" t="str">
        <f>IF('из города'!$AG$9=3,"Дол.",IF('из города'!$AG$9=1,"Руб.","Грн."))</f>
        <v>Грн.</v>
      </c>
      <c r="O54" s="663">
        <f>K54*M54</f>
        <v>0</v>
      </c>
      <c r="P54" s="651" t="str">
        <f>IF('из города'!$AG$9=3,"Дол.",IF('из города'!$AG$9=1,"Руб.","Грн."))</f>
        <v>Грн.</v>
      </c>
    </row>
    <row r="55" spans="3:16" ht="8.5" customHeight="1">
      <c r="D55" s="645"/>
      <c r="E55" s="646"/>
      <c r="F55" s="646"/>
      <c r="G55" s="646"/>
      <c r="H55" s="646"/>
      <c r="I55" s="646"/>
      <c r="J55" s="647"/>
      <c r="K55" s="861"/>
      <c r="L55" s="687"/>
      <c r="M55" s="668"/>
      <c r="N55" s="666"/>
      <c r="O55" s="664"/>
      <c r="P55" s="652"/>
    </row>
    <row r="56" spans="3:16" ht="8.5" customHeight="1">
      <c r="D56" s="648"/>
      <c r="E56" s="649"/>
      <c r="F56" s="649"/>
      <c r="G56" s="649"/>
      <c r="H56" s="649"/>
      <c r="I56" s="649"/>
      <c r="J56" s="650"/>
      <c r="K56" s="862"/>
      <c r="L56" s="688"/>
      <c r="M56" s="689"/>
      <c r="N56" s="681"/>
      <c r="O56" s="682"/>
      <c r="P56" s="690"/>
    </row>
    <row r="57" spans="3:16" ht="8.5" customHeight="1">
      <c r="D57" s="677" t="s">
        <v>2762</v>
      </c>
      <c r="E57" s="643"/>
      <c r="F57" s="643"/>
      <c r="G57" s="643"/>
      <c r="H57" s="643"/>
      <c r="I57" s="643"/>
      <c r="J57" s="644"/>
      <c r="K57" s="853">
        <v>0</v>
      </c>
      <c r="L57" s="686" t="s">
        <v>2763</v>
      </c>
      <c r="M57" s="667">
        <v>0</v>
      </c>
      <c r="N57" s="665" t="str">
        <f>IF('из города'!$AG$9=3,"Дол.",IF('из города'!$AG$9=1,"Руб.","Грн."))</f>
        <v>Грн.</v>
      </c>
      <c r="O57" s="663">
        <f>K57*M57</f>
        <v>0</v>
      </c>
      <c r="P57" s="651" t="str">
        <f>IF('из города'!$AG$9=3,"Дол.",IF('из города'!$AG$9=1,"Руб.","Грн."))</f>
        <v>Грн.</v>
      </c>
    </row>
    <row r="58" spans="3:16" ht="8.5" customHeight="1">
      <c r="D58" s="645"/>
      <c r="E58" s="646"/>
      <c r="F58" s="646"/>
      <c r="G58" s="646"/>
      <c r="H58" s="646"/>
      <c r="I58" s="646"/>
      <c r="J58" s="647"/>
      <c r="K58" s="861"/>
      <c r="L58" s="687"/>
      <c r="M58" s="668"/>
      <c r="N58" s="666"/>
      <c r="O58" s="664"/>
      <c r="P58" s="652"/>
    </row>
    <row r="59" spans="3:16" ht="8.5" customHeight="1">
      <c r="D59" s="648"/>
      <c r="E59" s="649"/>
      <c r="F59" s="649"/>
      <c r="G59" s="649"/>
      <c r="H59" s="649"/>
      <c r="I59" s="649"/>
      <c r="J59" s="650"/>
      <c r="K59" s="862"/>
      <c r="L59" s="688"/>
      <c r="M59" s="689"/>
      <c r="N59" s="681"/>
      <c r="O59" s="682"/>
      <c r="P59" s="690"/>
    </row>
    <row r="60" spans="3:16" ht="8.5" customHeight="1">
      <c r="D60" s="677" t="s">
        <v>2764</v>
      </c>
      <c r="E60" s="643"/>
      <c r="F60" s="643"/>
      <c r="G60" s="643"/>
      <c r="H60" s="643"/>
      <c r="I60" s="643"/>
      <c r="J60" s="644"/>
      <c r="K60" s="853">
        <v>0</v>
      </c>
      <c r="L60" s="686" t="s">
        <v>2763</v>
      </c>
      <c r="M60" s="667">
        <v>0</v>
      </c>
      <c r="N60" s="665" t="str">
        <f>IF('из города'!$AG$9=3,"Дол.",IF('из города'!$AG$9=1,"Руб.","Грн."))</f>
        <v>Грн.</v>
      </c>
      <c r="O60" s="663">
        <f>K60*M60</f>
        <v>0</v>
      </c>
      <c r="P60" s="651" t="str">
        <f>IF('из города'!$AG$9=3,"Дол.",IF('из города'!$AG$9=1,"Руб.","Грн."))</f>
        <v>Грн.</v>
      </c>
    </row>
    <row r="61" spans="3:16" ht="8.5" customHeight="1">
      <c r="D61" s="645"/>
      <c r="E61" s="646"/>
      <c r="F61" s="646"/>
      <c r="G61" s="646"/>
      <c r="H61" s="646"/>
      <c r="I61" s="646"/>
      <c r="J61" s="647"/>
      <c r="K61" s="861"/>
      <c r="L61" s="687"/>
      <c r="M61" s="668"/>
      <c r="N61" s="666"/>
      <c r="O61" s="664"/>
      <c r="P61" s="652"/>
    </row>
    <row r="62" spans="3:16" ht="8.5" customHeight="1">
      <c r="D62" s="648"/>
      <c r="E62" s="649"/>
      <c r="F62" s="649"/>
      <c r="G62" s="649"/>
      <c r="H62" s="649"/>
      <c r="I62" s="649"/>
      <c r="J62" s="650"/>
      <c r="K62" s="862"/>
      <c r="L62" s="688"/>
      <c r="M62" s="689"/>
      <c r="N62" s="681"/>
      <c r="O62" s="682"/>
      <c r="P62" s="690"/>
    </row>
    <row r="63" spans="3:16" ht="8.5" customHeight="1">
      <c r="C63" s="285" t="b">
        <v>0</v>
      </c>
      <c r="D63" s="749" t="s">
        <v>2723</v>
      </c>
      <c r="E63" s="750"/>
      <c r="F63" s="750"/>
      <c r="G63" s="750"/>
      <c r="H63" s="750"/>
      <c r="I63" s="750"/>
      <c r="J63" s="259"/>
      <c r="K63" s="259"/>
      <c r="L63" s="260"/>
      <c r="M63" s="845">
        <f>O63/R31</f>
        <v>0</v>
      </c>
      <c r="N63" s="759" t="s">
        <v>17</v>
      </c>
      <c r="O63" s="845">
        <f>IF(C63=TRUE,O39+O42+O45+O48+O51+O54+O57,0)</f>
        <v>0</v>
      </c>
      <c r="P63" s="679" t="str">
        <f>IF('из города'!$AG$9=3,"Дол.",IF('из города'!$AG$9=1,"Руб.","Грн."))</f>
        <v>Грн.</v>
      </c>
    </row>
    <row r="64" spans="3:16" ht="8.5" customHeight="1">
      <c r="D64" s="751"/>
      <c r="E64" s="752"/>
      <c r="F64" s="752"/>
      <c r="G64" s="752"/>
      <c r="H64" s="752"/>
      <c r="I64" s="752"/>
      <c r="J64" s="259"/>
      <c r="K64" s="259"/>
      <c r="L64" s="704"/>
      <c r="M64" s="747"/>
      <c r="N64" s="704"/>
      <c r="O64" s="747"/>
      <c r="P64" s="679"/>
    </row>
    <row r="65" spans="4:16" ht="8.5" customHeight="1">
      <c r="D65" s="751"/>
      <c r="E65" s="752"/>
      <c r="F65" s="752"/>
      <c r="G65" s="752"/>
      <c r="H65" s="752"/>
      <c r="I65" s="752"/>
      <c r="J65" s="259"/>
      <c r="K65" s="259"/>
      <c r="L65" s="704"/>
      <c r="M65" s="747"/>
      <c r="N65" s="704"/>
      <c r="O65" s="747"/>
      <c r="P65" s="679"/>
    </row>
    <row r="66" spans="4:16" ht="8.5" customHeight="1" thickBot="1">
      <c r="D66" s="753"/>
      <c r="E66" s="754"/>
      <c r="F66" s="754"/>
      <c r="G66" s="754"/>
      <c r="H66" s="754"/>
      <c r="I66" s="754"/>
      <c r="J66" s="261"/>
      <c r="K66" s="261"/>
      <c r="L66" s="705"/>
      <c r="M66" s="748"/>
      <c r="N66" s="705"/>
      <c r="O66" s="748"/>
      <c r="P66" s="763"/>
    </row>
    <row r="67" spans="4:16" ht="15" thickTop="1"/>
  </sheetData>
  <sheetProtection password="C665" sheet="1" objects="1" scenarios="1" selectLockedCells="1"/>
  <mergeCells count="100">
    <mergeCell ref="O63:O66"/>
    <mergeCell ref="P63:P66"/>
    <mergeCell ref="L64:L66"/>
    <mergeCell ref="D60:J62"/>
    <mergeCell ref="K60:K62"/>
    <mergeCell ref="L60:L62"/>
    <mergeCell ref="M60:M62"/>
    <mergeCell ref="N60:N62"/>
    <mergeCell ref="O60:O62"/>
    <mergeCell ref="D57:J59"/>
    <mergeCell ref="K57:K59"/>
    <mergeCell ref="D63:I66"/>
    <mergeCell ref="M63:M66"/>
    <mergeCell ref="N63:N66"/>
    <mergeCell ref="L57:L59"/>
    <mergeCell ref="M57:M59"/>
    <mergeCell ref="N57:N59"/>
    <mergeCell ref="O57:O59"/>
    <mergeCell ref="P60:P62"/>
    <mergeCell ref="P57:P59"/>
    <mergeCell ref="P51:P53"/>
    <mergeCell ref="L54:L56"/>
    <mergeCell ref="M54:M56"/>
    <mergeCell ref="N54:N56"/>
    <mergeCell ref="O54:O56"/>
    <mergeCell ref="P54:P56"/>
    <mergeCell ref="O51:O53"/>
    <mergeCell ref="D51:J53"/>
    <mergeCell ref="K51:K53"/>
    <mergeCell ref="L51:L53"/>
    <mergeCell ref="M51:M53"/>
    <mergeCell ref="N51:N53"/>
    <mergeCell ref="D54:J56"/>
    <mergeCell ref="K54:K56"/>
    <mergeCell ref="O39:O41"/>
    <mergeCell ref="P39:P41"/>
    <mergeCell ref="P42:P44"/>
    <mergeCell ref="P45:P47"/>
    <mergeCell ref="D48:J50"/>
    <mergeCell ref="K48:K50"/>
    <mergeCell ref="L48:L50"/>
    <mergeCell ref="M48:M50"/>
    <mergeCell ref="N48:N50"/>
    <mergeCell ref="O48:O50"/>
    <mergeCell ref="P48:P50"/>
    <mergeCell ref="D45:J47"/>
    <mergeCell ref="K45:K47"/>
    <mergeCell ref="O42:O44"/>
    <mergeCell ref="L45:L47"/>
    <mergeCell ref="M45:M47"/>
    <mergeCell ref="N45:N47"/>
    <mergeCell ref="O45:O47"/>
    <mergeCell ref="D42:J44"/>
    <mergeCell ref="K42:K44"/>
    <mergeCell ref="L42:L44"/>
    <mergeCell ref="M42:M44"/>
    <mergeCell ref="N42:N44"/>
    <mergeCell ref="D39:J41"/>
    <mergeCell ref="K39:K41"/>
    <mergeCell ref="L39:L41"/>
    <mergeCell ref="M39:M41"/>
    <mergeCell ref="N39:N41"/>
    <mergeCell ref="D34:P35"/>
    <mergeCell ref="D36:J38"/>
    <mergeCell ref="K36:L38"/>
    <mergeCell ref="M36:N38"/>
    <mergeCell ref="O36:P38"/>
    <mergeCell ref="O4:P4"/>
    <mergeCell ref="D2:P3"/>
    <mergeCell ref="D31:J31"/>
    <mergeCell ref="D20:J20"/>
    <mergeCell ref="D21:J21"/>
    <mergeCell ref="D27:J27"/>
    <mergeCell ref="D28:J28"/>
    <mergeCell ref="D18:J18"/>
    <mergeCell ref="D22:J22"/>
    <mergeCell ref="D19:J19"/>
    <mergeCell ref="D29:J29"/>
    <mergeCell ref="D30:J30"/>
    <mergeCell ref="D11:J11"/>
    <mergeCell ref="D6:J6"/>
    <mergeCell ref="D9:J9"/>
    <mergeCell ref="D10:J10"/>
    <mergeCell ref="M1:N1"/>
    <mergeCell ref="D4:J4"/>
    <mergeCell ref="K4:L4"/>
    <mergeCell ref="M4:N4"/>
    <mergeCell ref="D8:J8"/>
    <mergeCell ref="D7:J7"/>
    <mergeCell ref="D5:J5"/>
    <mergeCell ref="D23:J23"/>
    <mergeCell ref="D24:J24"/>
    <mergeCell ref="D25:J25"/>
    <mergeCell ref="D26:J26"/>
    <mergeCell ref="D12:J12"/>
    <mergeCell ref="D13:J13"/>
    <mergeCell ref="D14:J14"/>
    <mergeCell ref="D15:J15"/>
    <mergeCell ref="D16:J16"/>
    <mergeCell ref="D17:J17"/>
  </mergeCells>
  <hyperlinks>
    <hyperlink ref="G1" location="Купол!A1" display="Купол"/>
    <hyperlink ref="H1" location="козырёк!A1" display="Козырьки"/>
    <hyperlink ref="J1" location="'Стены 1'!A1" display="Стены 1"/>
    <hyperlink ref="K1" location="Перекрытие2!A1" display="Перекрытие 2"/>
    <hyperlink ref="L1" location="Стены2!A1" display="Стены 2"/>
    <hyperlink ref="M1" location="Башня!A1" display="Обзорная башня"/>
    <hyperlink ref="P1" location="Доставка!A1" display="Окна"/>
    <hyperlink ref="F1" location="'Смета фунд.'!A1" display="Смета фундамента"/>
    <hyperlink ref="O1" location="Окна!A1" display="Окна"/>
    <hyperlink ref="D1" location="Главная!A1" display="Главная"/>
    <hyperlink ref="I1" location="'Перекрытия 1'!A1" display="Перекр.1"/>
    <hyperlink ref="E1" location="'Район фунд.'!A1" display="Район фундамента"/>
  </hyperlinks>
  <pageMargins left="0.7" right="0.7" top="0.75" bottom="0.75" header="0.3" footer="0.3"/>
  <pageSetup paperSize="9" orientation="portrait" verticalDpi="30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1:N77"/>
  <sheetViews>
    <sheetView showGridLines="0" showRowColHeaders="0" workbookViewId="0">
      <pane ySplit="1" topLeftCell="A2" activePane="bottomLeft" state="frozen"/>
      <selection pane="bottomLeft" activeCell="M1" sqref="M1"/>
    </sheetView>
  </sheetViews>
  <sheetFormatPr defaultRowHeight="14.5"/>
  <cols>
    <col min="1" max="14" width="9.6328125" customWidth="1"/>
  </cols>
  <sheetData>
    <row r="1" spans="1:14" ht="20" customHeight="1" thickTop="1" thickBot="1">
      <c r="A1" s="321"/>
      <c r="B1" s="204" t="s">
        <v>2612</v>
      </c>
      <c r="C1" s="320" t="s">
        <v>2682</v>
      </c>
      <c r="D1" s="320" t="s">
        <v>2662</v>
      </c>
      <c r="E1" s="320" t="s">
        <v>2603</v>
      </c>
      <c r="F1" s="320" t="s">
        <v>2604</v>
      </c>
      <c r="G1" s="320" t="s">
        <v>2613</v>
      </c>
      <c r="H1" s="320" t="s">
        <v>2607</v>
      </c>
      <c r="I1" s="320" t="s">
        <v>2614</v>
      </c>
      <c r="J1" s="354" t="s">
        <v>2608</v>
      </c>
      <c r="K1" s="919" t="s">
        <v>2605</v>
      </c>
      <c r="L1" s="920"/>
      <c r="M1" s="320" t="s">
        <v>2606</v>
      </c>
      <c r="N1" s="320" t="s">
        <v>2634</v>
      </c>
    </row>
    <row r="2" spans="1:14" ht="15" thickTop="1">
      <c r="A2" s="322"/>
      <c r="B2" s="913" t="s">
        <v>2685</v>
      </c>
      <c r="C2" s="817"/>
      <c r="D2" s="817"/>
      <c r="E2" s="817"/>
      <c r="F2" s="817"/>
      <c r="G2" s="817"/>
      <c r="H2" s="817"/>
      <c r="I2" s="817"/>
      <c r="J2" s="817"/>
      <c r="K2" s="817"/>
      <c r="L2" s="817"/>
      <c r="M2" s="817"/>
      <c r="N2" s="914"/>
    </row>
    <row r="3" spans="1:14" ht="15" thickBot="1">
      <c r="A3" s="322"/>
      <c r="B3" s="915"/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819"/>
      <c r="N3" s="916"/>
    </row>
    <row r="4" spans="1:14" ht="34.5" customHeight="1" thickTop="1" thickBot="1">
      <c r="A4" s="321"/>
      <c r="B4" s="903" t="s">
        <v>0</v>
      </c>
      <c r="C4" s="904"/>
      <c r="D4" s="904"/>
      <c r="E4" s="904"/>
      <c r="F4" s="904"/>
      <c r="G4" s="904"/>
      <c r="H4" s="905"/>
      <c r="I4" s="906" t="s">
        <v>1</v>
      </c>
      <c r="J4" s="907"/>
      <c r="K4" s="911" t="s">
        <v>2</v>
      </c>
      <c r="L4" s="912"/>
      <c r="M4" s="911" t="s">
        <v>3</v>
      </c>
      <c r="N4" s="912"/>
    </row>
    <row r="5" spans="1:14" ht="19" customHeight="1" thickTop="1">
      <c r="A5" s="321"/>
      <c r="B5" s="890" t="s">
        <v>2692</v>
      </c>
      <c r="C5" s="891"/>
      <c r="D5" s="891"/>
      <c r="E5" s="891"/>
      <c r="F5" s="891"/>
      <c r="G5" s="891"/>
      <c r="H5" s="892"/>
      <c r="I5" s="353">
        <v>1</v>
      </c>
      <c r="J5" s="378" t="s">
        <v>11</v>
      </c>
      <c r="K5" s="409">
        <v>3500</v>
      </c>
      <c r="L5" s="366" t="str">
        <f>IF('из города'!$AG$9=3,"Дол.",IF('из города'!$AG$9=1,"Руб.","Грн."))</f>
        <v>Грн.</v>
      </c>
      <c r="M5" s="349">
        <f t="shared" ref="M5:M22" si="0">I5*K5</f>
        <v>3500</v>
      </c>
      <c r="N5" s="341" t="str">
        <f>IF('из города'!$AG$9=3,"Дол.",IF('из города'!$AG$9=1,"Руб.","Грн."))</f>
        <v>Грн.</v>
      </c>
    </row>
    <row r="6" spans="1:14" s="321" customFormat="1" ht="19" customHeight="1">
      <c r="B6" s="884" t="s">
        <v>2690</v>
      </c>
      <c r="C6" s="885"/>
      <c r="D6" s="885"/>
      <c r="E6" s="885"/>
      <c r="F6" s="885"/>
      <c r="G6" s="885"/>
      <c r="H6" s="886"/>
      <c r="I6" s="353">
        <v>1</v>
      </c>
      <c r="J6" s="378" t="s">
        <v>11</v>
      </c>
      <c r="K6" s="409">
        <v>3500</v>
      </c>
      <c r="L6" s="366" t="str">
        <f>IF('из города'!$AG$9=3,"Дол.",IF('из города'!$AG$9=1,"Руб.","Грн."))</f>
        <v>Грн.</v>
      </c>
      <c r="M6" s="343">
        <f t="shared" si="0"/>
        <v>3500</v>
      </c>
      <c r="N6" s="342" t="str">
        <f>IF('из города'!$AG$9=3,"Дол.",IF('из города'!$AG$9=1,"Руб.","Грн."))</f>
        <v>Грн.</v>
      </c>
    </row>
    <row r="7" spans="1:14" s="321" customFormat="1" ht="19" customHeight="1">
      <c r="B7" s="884" t="s">
        <v>2687</v>
      </c>
      <c r="C7" s="885"/>
      <c r="D7" s="885"/>
      <c r="E7" s="885"/>
      <c r="F7" s="885"/>
      <c r="G7" s="885"/>
      <c r="H7" s="886"/>
      <c r="I7" s="353">
        <v>1</v>
      </c>
      <c r="J7" s="378" t="s">
        <v>13</v>
      </c>
      <c r="K7" s="409">
        <v>170</v>
      </c>
      <c r="L7" s="366" t="str">
        <f>IF('из города'!$AG$9=3,"Дол.",IF('из города'!$AG$9=1,"Руб.","Грн."))</f>
        <v>Грн.</v>
      </c>
      <c r="M7" s="343">
        <f t="shared" si="0"/>
        <v>170</v>
      </c>
      <c r="N7" s="342" t="str">
        <f>IF('из города'!$AG$9=3,"Дол.",IF('из города'!$AG$9=1,"Руб.","Грн."))</f>
        <v>Грн.</v>
      </c>
    </row>
    <row r="8" spans="1:14" ht="19" customHeight="1">
      <c r="A8" s="321"/>
      <c r="B8" s="884" t="s">
        <v>2689</v>
      </c>
      <c r="C8" s="885"/>
      <c r="D8" s="885"/>
      <c r="E8" s="885"/>
      <c r="F8" s="885"/>
      <c r="G8" s="885"/>
      <c r="H8" s="886"/>
      <c r="I8" s="353">
        <v>1</v>
      </c>
      <c r="J8" s="378" t="s">
        <v>11</v>
      </c>
      <c r="K8" s="409">
        <v>3500</v>
      </c>
      <c r="L8" s="366" t="str">
        <f>IF('из города'!$AG$9=3,"Дол.",IF('из города'!$AG$9=1,"Руб.","Грн."))</f>
        <v>Грн.</v>
      </c>
      <c r="M8" s="343">
        <f t="shared" si="0"/>
        <v>3500</v>
      </c>
      <c r="N8" s="342" t="str">
        <f>IF('из города'!$AG$9=3,"Дол.",IF('из города'!$AG$9=1,"Руб.","Грн."))</f>
        <v>Грн.</v>
      </c>
    </row>
    <row r="9" spans="1:14" s="321" customFormat="1" ht="19" customHeight="1">
      <c r="B9" s="884" t="s">
        <v>2693</v>
      </c>
      <c r="C9" s="885"/>
      <c r="D9" s="885"/>
      <c r="E9" s="885"/>
      <c r="F9" s="885"/>
      <c r="G9" s="885"/>
      <c r="H9" s="886"/>
      <c r="I9" s="353">
        <v>1</v>
      </c>
      <c r="J9" s="378" t="s">
        <v>2108</v>
      </c>
      <c r="K9" s="409">
        <v>300</v>
      </c>
      <c r="L9" s="366" t="str">
        <f>IF('из города'!$AG$9=3,"Дол.",IF('из города'!$AG$9=1,"Руб.","Грн."))</f>
        <v>Грн.</v>
      </c>
      <c r="M9" s="343">
        <f t="shared" si="0"/>
        <v>300</v>
      </c>
      <c r="N9" s="342" t="str">
        <f>IF('из города'!$AG$9=3,"Дол.",IF('из города'!$AG$9=1,"Руб.","Грн."))</f>
        <v>Грн.</v>
      </c>
    </row>
    <row r="10" spans="1:14" s="355" customFormat="1" ht="19" customHeight="1">
      <c r="B10" s="884" t="s">
        <v>2694</v>
      </c>
      <c r="C10" s="885"/>
      <c r="D10" s="885"/>
      <c r="E10" s="885"/>
      <c r="F10" s="885"/>
      <c r="G10" s="885"/>
      <c r="H10" s="886"/>
      <c r="I10" s="353">
        <v>1</v>
      </c>
      <c r="J10" s="378" t="s">
        <v>2695</v>
      </c>
      <c r="K10" s="409">
        <v>280</v>
      </c>
      <c r="L10" s="366" t="str">
        <f>IF('из города'!$AG$9=3,"Дол.",IF('из города'!$AG$9=1,"Руб.","Грн."))</f>
        <v>Грн.</v>
      </c>
      <c r="M10" s="343">
        <f t="shared" si="0"/>
        <v>280</v>
      </c>
      <c r="N10" s="342" t="str">
        <f>IF('из города'!$AG$9=3,"Дол.",IF('из города'!$AG$9=1,"Руб.","Грн."))</f>
        <v>Грн.</v>
      </c>
    </row>
    <row r="11" spans="1:14" s="355" customFormat="1" ht="19" customHeight="1">
      <c r="B11" s="884" t="s">
        <v>2771</v>
      </c>
      <c r="C11" s="885"/>
      <c r="D11" s="885"/>
      <c r="E11" s="885"/>
      <c r="F11" s="885"/>
      <c r="G11" s="885"/>
      <c r="H11" s="886"/>
      <c r="I11" s="353">
        <v>1</v>
      </c>
      <c r="J11" s="378" t="s">
        <v>2108</v>
      </c>
      <c r="K11" s="409">
        <v>300</v>
      </c>
      <c r="L11" s="366" t="str">
        <f>IF('из города'!$AG$9=3,"Дол.",IF('из города'!$AG$9=1,"Руб.","Грн."))</f>
        <v>Грн.</v>
      </c>
      <c r="M11" s="343">
        <f t="shared" si="0"/>
        <v>300</v>
      </c>
      <c r="N11" s="342" t="str">
        <f>IF('из города'!$AG$9=3,"Дол.",IF('из города'!$AG$9=1,"Руб.","Грн."))</f>
        <v>Грн.</v>
      </c>
    </row>
    <row r="12" spans="1:14" s="321" customFormat="1" ht="19" customHeight="1">
      <c r="B12" s="887" t="s">
        <v>2691</v>
      </c>
      <c r="C12" s="888"/>
      <c r="D12" s="888"/>
      <c r="E12" s="888"/>
      <c r="F12" s="888"/>
      <c r="G12" s="888"/>
      <c r="H12" s="889"/>
      <c r="I12" s="353">
        <v>1</v>
      </c>
      <c r="J12" s="378" t="s">
        <v>23</v>
      </c>
      <c r="K12" s="409">
        <v>20</v>
      </c>
      <c r="L12" s="366" t="str">
        <f>IF('из города'!$AG$9=3,"Дол.",IF('из города'!$AG$9=1,"Руб.","Грн."))</f>
        <v>Грн.</v>
      </c>
      <c r="M12" s="343">
        <f t="shared" si="0"/>
        <v>20</v>
      </c>
      <c r="N12" s="342" t="str">
        <f>IF('из города'!$AG$9=3,"Дол.",IF('из города'!$AG$9=1,"Руб.","Грн."))</f>
        <v>Грн.</v>
      </c>
    </row>
    <row r="13" spans="1:14" ht="19" customHeight="1">
      <c r="A13" s="321"/>
      <c r="B13" s="677" t="s">
        <v>7</v>
      </c>
      <c r="C13" s="643"/>
      <c r="D13" s="643"/>
      <c r="E13" s="643"/>
      <c r="F13" s="643"/>
      <c r="G13" s="643"/>
      <c r="H13" s="644"/>
      <c r="I13" s="335">
        <v>1</v>
      </c>
      <c r="J13" s="377" t="s">
        <v>13</v>
      </c>
      <c r="K13" s="409">
        <v>7</v>
      </c>
      <c r="L13" s="336" t="str">
        <f>IF('из города'!$AG$9=3,"Дол.",IF('из города'!$AG$9=1,"Руб.","Грн."))</f>
        <v>Грн.</v>
      </c>
      <c r="M13" s="333">
        <f t="shared" si="0"/>
        <v>7</v>
      </c>
      <c r="N13" s="331" t="str">
        <f>IF('из города'!$AG$9=3,"Дол.",IF('из города'!$AG$9=1,"Руб.","Грн."))</f>
        <v>Грн.</v>
      </c>
    </row>
    <row r="14" spans="1:14" ht="19" customHeight="1">
      <c r="A14" s="321"/>
      <c r="B14" s="677" t="s">
        <v>8</v>
      </c>
      <c r="C14" s="643"/>
      <c r="D14" s="643"/>
      <c r="E14" s="643"/>
      <c r="F14" s="643"/>
      <c r="G14" s="643"/>
      <c r="H14" s="644"/>
      <c r="I14" s="335">
        <v>1</v>
      </c>
      <c r="J14" s="377" t="s">
        <v>13</v>
      </c>
      <c r="K14" s="409">
        <v>15</v>
      </c>
      <c r="L14" s="336" t="str">
        <f>IF('из города'!$AG$9=3,"Дол.",IF('из города'!$AG$9=1,"Руб.","Грн."))</f>
        <v>Грн.</v>
      </c>
      <c r="M14" s="333">
        <f t="shared" si="0"/>
        <v>15</v>
      </c>
      <c r="N14" s="331" t="str">
        <f>IF('из города'!$AG$9=3,"Дол.",IF('из города'!$AG$9=1,"Руб.","Грн."))</f>
        <v>Грн.</v>
      </c>
    </row>
    <row r="15" spans="1:14" ht="19" customHeight="1">
      <c r="A15" s="321"/>
      <c r="B15" s="642" t="s">
        <v>2701</v>
      </c>
      <c r="C15" s="718"/>
      <c r="D15" s="718"/>
      <c r="E15" s="718"/>
      <c r="F15" s="718"/>
      <c r="G15" s="718"/>
      <c r="H15" s="719"/>
      <c r="I15" s="335">
        <v>1</v>
      </c>
      <c r="J15" s="377" t="s">
        <v>12</v>
      </c>
      <c r="K15" s="409">
        <v>140</v>
      </c>
      <c r="L15" s="336" t="str">
        <f>IF('из города'!$AG$9=3,"Дол.",IF('из города'!$AG$9=1,"Руб.","Грн."))</f>
        <v>Грн.</v>
      </c>
      <c r="M15" s="333">
        <f t="shared" si="0"/>
        <v>140</v>
      </c>
      <c r="N15" s="331" t="str">
        <f>IF('из города'!$AG$9=3,"Дол.",IF('из города'!$AG$9=1,"Руб.","Грн."))</f>
        <v>Грн.</v>
      </c>
    </row>
    <row r="16" spans="1:14" s="355" customFormat="1" ht="19" customHeight="1">
      <c r="B16" s="642" t="s">
        <v>2702</v>
      </c>
      <c r="C16" s="718"/>
      <c r="D16" s="718"/>
      <c r="E16" s="718"/>
      <c r="F16" s="718"/>
      <c r="G16" s="718"/>
      <c r="H16" s="719"/>
      <c r="I16" s="335">
        <v>1</v>
      </c>
      <c r="J16" s="377" t="s">
        <v>12</v>
      </c>
      <c r="K16" s="409">
        <v>140</v>
      </c>
      <c r="L16" s="336" t="str">
        <f>IF('из города'!$AG$9=3,"Дол.",IF('из города'!$AG$9=1,"Руб.","Грн."))</f>
        <v>Грн.</v>
      </c>
      <c r="M16" s="333">
        <f t="shared" si="0"/>
        <v>140</v>
      </c>
      <c r="N16" s="331" t="str">
        <f>IF('из города'!$AG$9=3,"Дол.",IF('из города'!$AG$9=1,"Руб.","Грн."))</f>
        <v>Грн.</v>
      </c>
    </row>
    <row r="17" spans="1:14" s="355" customFormat="1" ht="19" customHeight="1">
      <c r="B17" s="642" t="s">
        <v>2696</v>
      </c>
      <c r="C17" s="718"/>
      <c r="D17" s="718"/>
      <c r="E17" s="718"/>
      <c r="F17" s="718"/>
      <c r="G17" s="718"/>
      <c r="H17" s="719"/>
      <c r="I17" s="335">
        <v>1</v>
      </c>
      <c r="J17" s="377" t="s">
        <v>12</v>
      </c>
      <c r="K17" s="409">
        <v>60</v>
      </c>
      <c r="L17" s="336" t="str">
        <f>IF('из города'!$AG$9=3,"Дол.",IF('из города'!$AG$9=1,"Руб.","Грн."))</f>
        <v>Грн.</v>
      </c>
      <c r="M17" s="333">
        <f t="shared" si="0"/>
        <v>60</v>
      </c>
      <c r="N17" s="331" t="str">
        <f>IF('из города'!$AG$9=3,"Дол.",IF('из города'!$AG$9=1,"Руб.","Грн."))</f>
        <v>Грн.</v>
      </c>
    </row>
    <row r="18" spans="1:14" ht="19" customHeight="1">
      <c r="A18" s="321"/>
      <c r="B18" s="887" t="s">
        <v>2697</v>
      </c>
      <c r="C18" s="888"/>
      <c r="D18" s="888"/>
      <c r="E18" s="888"/>
      <c r="F18" s="888"/>
      <c r="G18" s="888"/>
      <c r="H18" s="889"/>
      <c r="I18" s="335">
        <v>1</v>
      </c>
      <c r="J18" s="377" t="s">
        <v>12</v>
      </c>
      <c r="K18" s="409">
        <v>60</v>
      </c>
      <c r="L18" s="336" t="str">
        <f>IF('из города'!$AG$9=3,"Дол.",IF('из города'!$AG$9=1,"Руб.","Грн."))</f>
        <v>Грн.</v>
      </c>
      <c r="M18" s="333">
        <f t="shared" si="0"/>
        <v>60</v>
      </c>
      <c r="N18" s="331" t="str">
        <f>IF('из города'!$AG$9=3,"Дол.",IF('из города'!$AG$9=1,"Руб.","Грн."))</f>
        <v>Грн.</v>
      </c>
    </row>
    <row r="19" spans="1:14" s="355" customFormat="1" ht="19" customHeight="1">
      <c r="B19" s="642" t="s">
        <v>2698</v>
      </c>
      <c r="C19" s="718"/>
      <c r="D19" s="718"/>
      <c r="E19" s="718"/>
      <c r="F19" s="718"/>
      <c r="G19" s="718"/>
      <c r="H19" s="719"/>
      <c r="I19" s="335">
        <v>1</v>
      </c>
      <c r="J19" s="377" t="s">
        <v>12</v>
      </c>
      <c r="K19" s="409">
        <v>60</v>
      </c>
      <c r="L19" s="336" t="str">
        <f>IF('из города'!$AG$9=3,"Дол.",IF('из города'!$AG$9=1,"Руб.","Грн."))</f>
        <v>Грн.</v>
      </c>
      <c r="M19" s="333">
        <f t="shared" si="0"/>
        <v>60</v>
      </c>
      <c r="N19" s="331" t="str">
        <f>IF('из города'!$AG$9=3,"Дол.",IF('из города'!$AG$9=1,"Руб.","Грн."))</f>
        <v>Грн.</v>
      </c>
    </row>
    <row r="20" spans="1:14" s="355" customFormat="1" ht="19" customHeight="1">
      <c r="B20" s="642" t="s">
        <v>5</v>
      </c>
      <c r="C20" s="718"/>
      <c r="D20" s="718"/>
      <c r="E20" s="718"/>
      <c r="F20" s="718"/>
      <c r="G20" s="718"/>
      <c r="H20" s="719"/>
      <c r="I20" s="335">
        <v>1</v>
      </c>
      <c r="J20" s="377" t="s">
        <v>12</v>
      </c>
      <c r="K20" s="409">
        <v>60</v>
      </c>
      <c r="L20" s="336" t="str">
        <f>IF('из города'!$AG$9=3,"Дол.",IF('из города'!$AG$9=1,"Руб.","Грн."))</f>
        <v>Грн.</v>
      </c>
      <c r="M20" s="333">
        <f t="shared" si="0"/>
        <v>60</v>
      </c>
      <c r="N20" s="331" t="str">
        <f>IF('из города'!$AG$9=3,"Дол.",IF('из города'!$AG$9=1,"Руб.","Грн."))</f>
        <v>Грн.</v>
      </c>
    </row>
    <row r="21" spans="1:14" ht="19" customHeight="1">
      <c r="A21" s="321"/>
      <c r="B21" s="642" t="s">
        <v>2699</v>
      </c>
      <c r="C21" s="718"/>
      <c r="D21" s="718"/>
      <c r="E21" s="718"/>
      <c r="F21" s="718"/>
      <c r="G21" s="718"/>
      <c r="H21" s="719"/>
      <c r="I21" s="335">
        <v>1</v>
      </c>
      <c r="J21" s="377" t="s">
        <v>2139</v>
      </c>
      <c r="K21" s="409">
        <v>50</v>
      </c>
      <c r="L21" s="336" t="str">
        <f>IF('из города'!$AG$9=3,"Дол.",IF('из города'!$AG$9=1,"Руб.","Грн."))</f>
        <v>Грн.</v>
      </c>
      <c r="M21" s="373">
        <f t="shared" si="0"/>
        <v>50</v>
      </c>
      <c r="N21" s="331" t="str">
        <f>IF('из города'!$AG$9=3,"Дол.",IF('из города'!$AG$9=1,"Руб.","Грн."))</f>
        <v>Грн.</v>
      </c>
    </row>
    <row r="22" spans="1:14" ht="19" customHeight="1">
      <c r="A22" s="321"/>
      <c r="B22" s="642" t="s">
        <v>2700</v>
      </c>
      <c r="C22" s="718"/>
      <c r="D22" s="718"/>
      <c r="E22" s="718"/>
      <c r="F22" s="718"/>
      <c r="G22" s="718"/>
      <c r="H22" s="719"/>
      <c r="I22" s="335">
        <v>1</v>
      </c>
      <c r="J22" s="377" t="s">
        <v>13</v>
      </c>
      <c r="K22" s="409">
        <v>50</v>
      </c>
      <c r="L22" s="336" t="str">
        <f>IF('из города'!$AG$9=3,"Дол.",IF('из города'!$AG$9=1,"Руб.","Грн."))</f>
        <v>Грн.</v>
      </c>
      <c r="M22" s="333">
        <f t="shared" si="0"/>
        <v>50</v>
      </c>
      <c r="N22" s="331" t="str">
        <f>IF('из города'!$AG$9=3,"Дол.",IF('из города'!$AG$9=1,"Руб.","Грн."))</f>
        <v>Грн.</v>
      </c>
    </row>
    <row r="23" spans="1:14" ht="19" customHeight="1">
      <c r="B23" s="642" t="s">
        <v>2705</v>
      </c>
      <c r="C23" s="718"/>
      <c r="D23" s="718"/>
      <c r="E23" s="718"/>
      <c r="F23" s="718"/>
      <c r="G23" s="718"/>
      <c r="H23" s="719"/>
      <c r="I23" s="353">
        <v>1</v>
      </c>
      <c r="J23" s="378" t="s">
        <v>12</v>
      </c>
      <c r="K23" s="409">
        <v>100</v>
      </c>
      <c r="L23" s="366" t="str">
        <f>IF('из города'!$AG$9=3,"Дол.",IF('из города'!$AG$9=1,"Руб.","Грн."))</f>
        <v>Грн.</v>
      </c>
      <c r="M23" s="350">
        <f t="shared" ref="M23:M29" si="1">I23*K23</f>
        <v>100</v>
      </c>
      <c r="N23" s="342" t="str">
        <f>IF('из города'!$AG$9=3,"Дол.",IF('из города'!$AG$9=1,"Руб.","Грн."))</f>
        <v>Грн.</v>
      </c>
    </row>
    <row r="24" spans="1:14" ht="19" customHeight="1">
      <c r="B24" s="893" t="s">
        <v>2114</v>
      </c>
      <c r="C24" s="894"/>
      <c r="D24" s="894"/>
      <c r="E24" s="894"/>
      <c r="F24" s="894"/>
      <c r="G24" s="894"/>
      <c r="H24" s="902"/>
      <c r="I24" s="353">
        <v>0</v>
      </c>
      <c r="J24" s="365" t="s">
        <v>23</v>
      </c>
      <c r="K24" s="372">
        <v>0</v>
      </c>
      <c r="L24" s="366" t="str">
        <f>IF('из города'!$AG$9=3,"Дол.",IF('из города'!$AG$9=1,"Руб.","Грн."))</f>
        <v>Грн.</v>
      </c>
      <c r="M24" s="350">
        <f t="shared" si="1"/>
        <v>0</v>
      </c>
      <c r="N24" s="342" t="str">
        <f>IF('из города'!$AG$9=3,"Дол.",IF('из города'!$AG$9=1,"Руб.","Грн."))</f>
        <v>Грн.</v>
      </c>
    </row>
    <row r="25" spans="1:14" ht="19" customHeight="1">
      <c r="A25" s="113" t="b">
        <v>1</v>
      </c>
      <c r="B25" s="893" t="s">
        <v>2114</v>
      </c>
      <c r="C25" s="894"/>
      <c r="D25" s="894"/>
      <c r="E25" s="894"/>
      <c r="F25" s="894"/>
      <c r="G25" s="894"/>
      <c r="H25" s="902"/>
      <c r="I25" s="353">
        <v>0</v>
      </c>
      <c r="J25" s="365" t="s">
        <v>23</v>
      </c>
      <c r="K25" s="353">
        <v>0</v>
      </c>
      <c r="L25" s="366" t="str">
        <f>IF('из города'!$AG$9=3,"Дол.",IF('из города'!$AG$9=1,"Руб.","Грн."))</f>
        <v>Грн.</v>
      </c>
      <c r="M25" s="350">
        <f t="shared" si="1"/>
        <v>0</v>
      </c>
      <c r="N25" s="342" t="str">
        <f>IF('из города'!$AG$9=3,"Дол.",IF('из города'!$AG$9=1,"Руб.","Грн."))</f>
        <v>Грн.</v>
      </c>
    </row>
    <row r="26" spans="1:14" ht="19" customHeight="1">
      <c r="B26" s="893" t="s">
        <v>2114</v>
      </c>
      <c r="C26" s="894"/>
      <c r="D26" s="894"/>
      <c r="E26" s="894"/>
      <c r="F26" s="894"/>
      <c r="G26" s="894"/>
      <c r="H26" s="902"/>
      <c r="I26" s="353">
        <v>0</v>
      </c>
      <c r="J26" s="365" t="s">
        <v>23</v>
      </c>
      <c r="K26" s="353">
        <v>0</v>
      </c>
      <c r="L26" s="366" t="str">
        <f>IF('из города'!$AG$9=3,"Дол.",IF('из города'!$AG$9=1,"Руб.","Грн."))</f>
        <v>Грн.</v>
      </c>
      <c r="M26" s="350">
        <f t="shared" si="1"/>
        <v>0</v>
      </c>
      <c r="N26" s="342" t="str">
        <f>IF('из города'!$AG$9=3,"Дол.",IF('из города'!$AG$9=1,"Руб.","Грн."))</f>
        <v>Грн.</v>
      </c>
    </row>
    <row r="27" spans="1:14" ht="19" customHeight="1">
      <c r="B27" s="893" t="s">
        <v>2114</v>
      </c>
      <c r="C27" s="894"/>
      <c r="D27" s="894"/>
      <c r="E27" s="894"/>
      <c r="F27" s="894"/>
      <c r="G27" s="894"/>
      <c r="H27" s="902"/>
      <c r="I27" s="353">
        <v>0</v>
      </c>
      <c r="J27" s="365" t="s">
        <v>23</v>
      </c>
      <c r="K27" s="353">
        <v>0</v>
      </c>
      <c r="L27" s="366" t="str">
        <f>IF('из города'!$AG$9=3,"Дол.",IF('из города'!$AG$9=1,"Руб.","Грн."))</f>
        <v>Грн.</v>
      </c>
      <c r="M27" s="350">
        <f t="shared" si="1"/>
        <v>0</v>
      </c>
      <c r="N27" s="342" t="str">
        <f>IF('из города'!$AG$9=3,"Дол.",IF('из города'!$AG$9=1,"Руб.","Грн."))</f>
        <v>Грн.</v>
      </c>
    </row>
    <row r="28" spans="1:14" ht="19" customHeight="1">
      <c r="B28" s="893" t="s">
        <v>2114</v>
      </c>
      <c r="C28" s="894"/>
      <c r="D28" s="894"/>
      <c r="E28" s="894"/>
      <c r="F28" s="894"/>
      <c r="G28" s="894"/>
      <c r="H28" s="902"/>
      <c r="I28" s="353">
        <v>0</v>
      </c>
      <c r="J28" s="365" t="s">
        <v>23</v>
      </c>
      <c r="K28" s="353">
        <v>0</v>
      </c>
      <c r="L28" s="366" t="str">
        <f>IF('из города'!$AG$9=3,"Дол.",IF('из города'!$AG$9=1,"Руб.","Грн."))</f>
        <v>Грн.</v>
      </c>
      <c r="M28" s="350">
        <f t="shared" si="1"/>
        <v>0</v>
      </c>
      <c r="N28" s="342" t="str">
        <f>IF('из города'!$AG$9=3,"Дол.",IF('из города'!$AG$9=1,"Руб.","Грн."))</f>
        <v>Грн.</v>
      </c>
    </row>
    <row r="29" spans="1:14" ht="19" customHeight="1">
      <c r="B29" s="893" t="s">
        <v>2114</v>
      </c>
      <c r="C29" s="894"/>
      <c r="D29" s="894"/>
      <c r="E29" s="894"/>
      <c r="F29" s="894"/>
      <c r="G29" s="894"/>
      <c r="H29" s="902"/>
      <c r="I29" s="353">
        <v>0</v>
      </c>
      <c r="J29" s="365" t="s">
        <v>23</v>
      </c>
      <c r="K29" s="335">
        <v>0</v>
      </c>
      <c r="L29" s="366" t="str">
        <f>IF('из города'!$AG$9=3,"Дол.",IF('из города'!$AG$9=1,"Руб.","Грн."))</f>
        <v>Грн.</v>
      </c>
      <c r="M29" s="350">
        <f t="shared" si="1"/>
        <v>0</v>
      </c>
      <c r="N29" s="342" t="str">
        <f>IF('из города'!$AG$9=3,"Дол.",IF('из города'!$AG$9=1,"Руб.","Грн."))</f>
        <v>Грн.</v>
      </c>
    </row>
    <row r="30" spans="1:14" ht="19" customHeight="1">
      <c r="B30" s="884" t="s">
        <v>2675</v>
      </c>
      <c r="C30" s="885"/>
      <c r="D30" s="885"/>
      <c r="E30" s="885"/>
      <c r="F30" s="885"/>
      <c r="G30" s="885"/>
      <c r="H30" s="886"/>
      <c r="I30" s="359">
        <v>2</v>
      </c>
      <c r="J30" s="379" t="s">
        <v>2676</v>
      </c>
      <c r="K30" s="409">
        <v>7</v>
      </c>
      <c r="L30" s="366" t="str">
        <f>IF('из города'!$AG$9=3,"Дол.",IF('из города'!$AG$9=1,"Руб.","Грн."))</f>
        <v>Грн.</v>
      </c>
      <c r="M30" s="343">
        <f t="shared" ref="M30:M40" si="2">I30*K30</f>
        <v>14</v>
      </c>
      <c r="N30" s="342" t="str">
        <f>IF('из города'!$AG$9=3,"Дол.",IF('из города'!$AG$9=1,"Руб.","Грн."))</f>
        <v>Грн.</v>
      </c>
    </row>
    <row r="31" spans="1:14" ht="19" customHeight="1">
      <c r="B31" s="884" t="s">
        <v>2664</v>
      </c>
      <c r="C31" s="885"/>
      <c r="D31" s="885"/>
      <c r="E31" s="885"/>
      <c r="F31" s="885"/>
      <c r="G31" s="885"/>
      <c r="H31" s="886"/>
      <c r="I31" s="359">
        <v>10</v>
      </c>
      <c r="J31" s="379" t="s">
        <v>2641</v>
      </c>
      <c r="K31" s="409">
        <v>2</v>
      </c>
      <c r="L31" s="366" t="str">
        <f>IF('из города'!$AG$9=3,"Дол.",IF('из города'!$AG$9=1,"Руб.","Грн."))</f>
        <v>Грн.</v>
      </c>
      <c r="M31" s="343">
        <f t="shared" si="2"/>
        <v>20</v>
      </c>
      <c r="N31" s="342" t="str">
        <f>IF('из города'!$AG$9=3,"Дол.",IF('из города'!$AG$9=1,"Руб.","Грн."))</f>
        <v>Грн.</v>
      </c>
    </row>
    <row r="32" spans="1:14" ht="19" customHeight="1">
      <c r="B32" s="884" t="s">
        <v>2653</v>
      </c>
      <c r="C32" s="885"/>
      <c r="D32" s="885"/>
      <c r="E32" s="885"/>
      <c r="F32" s="885"/>
      <c r="G32" s="885"/>
      <c r="H32" s="886"/>
      <c r="I32" s="359">
        <v>1</v>
      </c>
      <c r="J32" s="379" t="s">
        <v>2639</v>
      </c>
      <c r="K32" s="409">
        <v>20</v>
      </c>
      <c r="L32" s="366" t="str">
        <f>IF('из города'!$AG$9=3,"Дол.",IF('из города'!$AG$9=1,"Руб.","Грн."))</f>
        <v>Грн.</v>
      </c>
      <c r="M32" s="343">
        <f t="shared" si="2"/>
        <v>20</v>
      </c>
      <c r="N32" s="342" t="str">
        <f>IF('из города'!$AG$9=3,"Дол.",IF('из города'!$AG$9=1,"Руб.","Грн."))</f>
        <v>Грн.</v>
      </c>
    </row>
    <row r="33" spans="1:14" ht="19" customHeight="1">
      <c r="B33" s="884" t="s">
        <v>2652</v>
      </c>
      <c r="C33" s="885"/>
      <c r="D33" s="885"/>
      <c r="E33" s="885"/>
      <c r="F33" s="885"/>
      <c r="G33" s="885"/>
      <c r="H33" s="886"/>
      <c r="I33" s="359">
        <v>5</v>
      </c>
      <c r="J33" s="379" t="s">
        <v>2639</v>
      </c>
      <c r="K33" s="409">
        <v>2</v>
      </c>
      <c r="L33" s="366" t="str">
        <f>IF('из города'!$AG$9=3,"Дол.",IF('из города'!$AG$9=1,"Руб.","Грн."))</f>
        <v>Грн.</v>
      </c>
      <c r="M33" s="343">
        <f t="shared" si="2"/>
        <v>10</v>
      </c>
      <c r="N33" s="342" t="str">
        <f>IF('из города'!$AG$9=3,"Дол.",IF('из города'!$AG$9=1,"Руб.","Грн."))</f>
        <v>Грн.</v>
      </c>
    </row>
    <row r="34" spans="1:14" ht="19" customHeight="1">
      <c r="B34" s="884" t="s">
        <v>2674</v>
      </c>
      <c r="C34" s="885"/>
      <c r="D34" s="885"/>
      <c r="E34" s="885"/>
      <c r="F34" s="885"/>
      <c r="G34" s="885"/>
      <c r="H34" s="886"/>
      <c r="I34" s="359">
        <v>0</v>
      </c>
      <c r="J34" s="379" t="s">
        <v>2647</v>
      </c>
      <c r="K34" s="409">
        <v>70</v>
      </c>
      <c r="L34" s="366" t="str">
        <f>IF('из города'!$AG$9=3,"Дол.",IF('из города'!$AG$9=1,"Руб.","Грн."))</f>
        <v>Грн.</v>
      </c>
      <c r="M34" s="343">
        <f t="shared" si="2"/>
        <v>0</v>
      </c>
      <c r="N34" s="342" t="str">
        <f>IF('из города'!$AG$9=3,"Дол.",IF('из города'!$AG$9=1,"Руб.","Грн."))</f>
        <v>Грн.</v>
      </c>
    </row>
    <row r="35" spans="1:14" ht="19" customHeight="1">
      <c r="B35" s="896" t="s">
        <v>2660</v>
      </c>
      <c r="C35" s="897"/>
      <c r="D35" s="897"/>
      <c r="E35" s="897"/>
      <c r="F35" s="897"/>
      <c r="G35" s="897"/>
      <c r="H35" s="898"/>
      <c r="I35" s="359">
        <v>6</v>
      </c>
      <c r="J35" s="379" t="s">
        <v>2661</v>
      </c>
      <c r="K35" s="409">
        <v>15</v>
      </c>
      <c r="L35" s="367" t="str">
        <f>IF('из города'!$AG$9=3,"Дол.",IF('из города'!$AG$9=1,"Руб.","Грн."))</f>
        <v>Грн.</v>
      </c>
      <c r="M35" s="343">
        <f t="shared" si="2"/>
        <v>90</v>
      </c>
      <c r="N35" s="342" t="str">
        <f>IF('из города'!$AG$9=3,"Дол.",IF('из города'!$AG$9=1,"Руб.","Грн."))</f>
        <v>Грн.</v>
      </c>
    </row>
    <row r="36" spans="1:14" ht="19" customHeight="1">
      <c r="B36" s="899" t="s">
        <v>2658</v>
      </c>
      <c r="C36" s="900"/>
      <c r="D36" s="900"/>
      <c r="E36" s="900"/>
      <c r="F36" s="900"/>
      <c r="G36" s="900"/>
      <c r="H36" s="901"/>
      <c r="I36" s="359">
        <v>1</v>
      </c>
      <c r="J36" s="365" t="s">
        <v>2647</v>
      </c>
      <c r="K36" s="353">
        <v>0</v>
      </c>
      <c r="L36" s="366" t="str">
        <f>IF('из города'!$AG$9=3,"Дол.",IF('из города'!$AG$9=1,"Руб.","Грн."))</f>
        <v>Грн.</v>
      </c>
      <c r="M36" s="343">
        <f t="shared" si="2"/>
        <v>0</v>
      </c>
      <c r="N36" s="342" t="str">
        <f>IF('из города'!$AG$9=3,"Дол.",IF('из города'!$AG$9=1,"Руб.","Грн."))</f>
        <v>Грн.</v>
      </c>
    </row>
    <row r="37" spans="1:14" ht="19" customHeight="1">
      <c r="B37" s="899" t="s">
        <v>2658</v>
      </c>
      <c r="C37" s="900"/>
      <c r="D37" s="900"/>
      <c r="E37" s="900"/>
      <c r="F37" s="900"/>
      <c r="G37" s="900"/>
      <c r="H37" s="901"/>
      <c r="I37" s="359">
        <v>1</v>
      </c>
      <c r="J37" s="365" t="s">
        <v>2647</v>
      </c>
      <c r="K37" s="353">
        <v>0</v>
      </c>
      <c r="L37" s="366" t="str">
        <f>IF('из города'!$AG$9=3,"Дол.",IF('из города'!$AG$9=1,"Руб.","Грн."))</f>
        <v>Грн.</v>
      </c>
      <c r="M37" s="343">
        <f t="shared" si="2"/>
        <v>0</v>
      </c>
      <c r="N37" s="342" t="str">
        <f>IF('из города'!$AG$9=3,"Дол.",IF('из города'!$AG$9=1,"Руб.","Грн."))</f>
        <v>Грн.</v>
      </c>
    </row>
    <row r="38" spans="1:14" ht="19" customHeight="1">
      <c r="B38" s="899" t="s">
        <v>2658</v>
      </c>
      <c r="C38" s="900"/>
      <c r="D38" s="900"/>
      <c r="E38" s="900"/>
      <c r="F38" s="900"/>
      <c r="G38" s="900"/>
      <c r="H38" s="901"/>
      <c r="I38" s="359">
        <v>1</v>
      </c>
      <c r="J38" s="365" t="s">
        <v>2647</v>
      </c>
      <c r="K38" s="353">
        <v>0</v>
      </c>
      <c r="L38" s="366" t="str">
        <f>IF('из города'!$AG$9=3,"Дол.",IF('из города'!$AG$9=1,"Руб.","Грн."))</f>
        <v>Грн.</v>
      </c>
      <c r="M38" s="343">
        <f t="shared" si="2"/>
        <v>0</v>
      </c>
      <c r="N38" s="342" t="str">
        <f>IF('из города'!$AG$9=3,"Дол.",IF('из города'!$AG$9=1,"Руб.","Грн."))</f>
        <v>Грн.</v>
      </c>
    </row>
    <row r="39" spans="1:14" ht="19" customHeight="1">
      <c r="B39" s="653" t="s">
        <v>2658</v>
      </c>
      <c r="C39" s="654"/>
      <c r="D39" s="654"/>
      <c r="E39" s="654"/>
      <c r="F39" s="654"/>
      <c r="G39" s="654"/>
      <c r="H39" s="655"/>
      <c r="I39" s="338">
        <v>1</v>
      </c>
      <c r="J39" s="339" t="s">
        <v>2647</v>
      </c>
      <c r="K39" s="335">
        <v>0</v>
      </c>
      <c r="L39" s="336" t="str">
        <f>IF('из города'!$AG$9=3,"Дол.",IF('из города'!$AG$9=1,"Руб.","Грн."))</f>
        <v>Грн.</v>
      </c>
      <c r="M39" s="333">
        <f t="shared" si="2"/>
        <v>0</v>
      </c>
      <c r="N39" s="331" t="str">
        <f>IF('из города'!$AG$9=3,"Дол.",IF('из города'!$AG$9=1,"Руб.","Грн."))</f>
        <v>Грн.</v>
      </c>
    </row>
    <row r="40" spans="1:14" ht="19" customHeight="1">
      <c r="B40" s="653" t="s">
        <v>2658</v>
      </c>
      <c r="C40" s="654"/>
      <c r="D40" s="654"/>
      <c r="E40" s="654"/>
      <c r="F40" s="654"/>
      <c r="G40" s="654"/>
      <c r="H40" s="655"/>
      <c r="I40" s="338">
        <v>1</v>
      </c>
      <c r="J40" s="339" t="s">
        <v>2647</v>
      </c>
      <c r="K40" s="335">
        <v>0</v>
      </c>
      <c r="L40" s="336" t="str">
        <f>IF('из города'!$AG$9=3,"Дол.",IF('из города'!$AG$9=1,"Руб.","Грн."))</f>
        <v>Грн.</v>
      </c>
      <c r="M40" s="343">
        <f t="shared" si="2"/>
        <v>0</v>
      </c>
      <c r="N40" s="331" t="str">
        <f>IF('из города'!$AG$9=3,"Дол.",IF('из города'!$AG$9=1,"Руб.","Грн."))</f>
        <v>Грн.</v>
      </c>
    </row>
    <row r="41" spans="1:14" ht="28.5" customHeight="1" thickBot="1">
      <c r="A41" s="285" t="b">
        <v>0</v>
      </c>
      <c r="B41" s="917" t="s">
        <v>15</v>
      </c>
      <c r="C41" s="918" t="b">
        <v>1</v>
      </c>
      <c r="D41" s="918"/>
      <c r="E41" s="918"/>
      <c r="F41" s="918"/>
      <c r="G41" s="918"/>
      <c r="H41" s="918"/>
      <c r="I41" s="360">
        <f>M41/L41</f>
        <v>0</v>
      </c>
      <c r="J41" s="361" t="s">
        <v>17</v>
      </c>
      <c r="K41" s="361"/>
      <c r="L41" s="370">
        <f>Главная!O9</f>
        <v>26</v>
      </c>
      <c r="M41" s="360">
        <f>IF(A41=TRUE,SUM(M5:M40),0)</f>
        <v>0</v>
      </c>
      <c r="N41" s="364" t="str">
        <f>IF('из города'!$AG$9=3,"Дол.",IF('из города'!$AG$9=1,"Руб.","Грн."))</f>
        <v>Грн.</v>
      </c>
    </row>
    <row r="42" spans="1:14" ht="15" thickTop="1"/>
    <row r="43" spans="1:14" ht="15" thickBot="1"/>
    <row r="44" spans="1:14" ht="13" customHeight="1" thickTop="1">
      <c r="B44" s="706" t="s">
        <v>2718</v>
      </c>
      <c r="C44" s="697"/>
      <c r="D44" s="697"/>
      <c r="E44" s="697"/>
      <c r="F44" s="697"/>
      <c r="G44" s="697"/>
      <c r="H44" s="697"/>
      <c r="I44" s="697"/>
      <c r="J44" s="697"/>
      <c r="K44" s="697"/>
      <c r="L44" s="697"/>
      <c r="M44" s="697"/>
      <c r="N44" s="697"/>
    </row>
    <row r="45" spans="1:14" ht="13" customHeight="1" thickBot="1">
      <c r="B45" s="849"/>
      <c r="C45" s="698"/>
      <c r="D45" s="698"/>
      <c r="E45" s="698"/>
      <c r="F45" s="698"/>
      <c r="G45" s="698"/>
      <c r="H45" s="698"/>
      <c r="I45" s="698"/>
      <c r="J45" s="698"/>
      <c r="K45" s="698"/>
      <c r="L45" s="698"/>
      <c r="M45" s="698"/>
      <c r="N45" s="698"/>
    </row>
    <row r="46" spans="1:14" ht="11.5" customHeight="1" thickTop="1">
      <c r="B46" s="504" t="s">
        <v>2737</v>
      </c>
      <c r="C46" s="712"/>
      <c r="D46" s="712"/>
      <c r="E46" s="712"/>
      <c r="F46" s="712"/>
      <c r="G46" s="712"/>
      <c r="H46" s="713"/>
      <c r="I46" s="477" t="s">
        <v>2738</v>
      </c>
      <c r="J46" s="479"/>
      <c r="K46" s="477" t="s">
        <v>2</v>
      </c>
      <c r="L46" s="479"/>
      <c r="M46" s="478" t="s">
        <v>2749</v>
      </c>
      <c r="N46" s="479"/>
    </row>
    <row r="47" spans="1:14" ht="11.5" customHeight="1">
      <c r="B47" s="714"/>
      <c r="C47" s="850"/>
      <c r="D47" s="850"/>
      <c r="E47" s="850"/>
      <c r="F47" s="850"/>
      <c r="G47" s="850"/>
      <c r="H47" s="716"/>
      <c r="I47" s="480"/>
      <c r="J47" s="482"/>
      <c r="K47" s="480"/>
      <c r="L47" s="482"/>
      <c r="M47" s="481"/>
      <c r="N47" s="482"/>
    </row>
    <row r="48" spans="1:14" ht="11.5" customHeight="1" thickBot="1">
      <c r="B48" s="717"/>
      <c r="C48" s="710"/>
      <c r="D48" s="710"/>
      <c r="E48" s="710"/>
      <c r="F48" s="710"/>
      <c r="G48" s="710"/>
      <c r="H48" s="711"/>
      <c r="I48" s="483"/>
      <c r="J48" s="485"/>
      <c r="K48" s="483"/>
      <c r="L48" s="485"/>
      <c r="M48" s="484"/>
      <c r="N48" s="485"/>
    </row>
    <row r="49" spans="2:14" ht="8" customHeight="1" thickTop="1">
      <c r="B49" s="730" t="s">
        <v>2772</v>
      </c>
      <c r="C49" s="731"/>
      <c r="D49" s="731"/>
      <c r="E49" s="731"/>
      <c r="F49" s="731"/>
      <c r="G49" s="731"/>
      <c r="H49" s="814"/>
      <c r="I49" s="861">
        <v>1</v>
      </c>
      <c r="J49" s="687" t="s">
        <v>2726</v>
      </c>
      <c r="K49" s="668">
        <v>150</v>
      </c>
      <c r="L49" s="666" t="str">
        <f>IF('из города'!$AG$9=3,"Дол.",IF('из города'!$AG$9=1,"Руб.","Грн."))</f>
        <v>Грн.</v>
      </c>
      <c r="M49" s="664">
        <f>I49*K49</f>
        <v>150</v>
      </c>
      <c r="N49" s="652" t="str">
        <f>IF('из города'!$AG$9=3,"Дол.",IF('из города'!$AG$9=1,"Руб.","Грн."))</f>
        <v>Грн.</v>
      </c>
    </row>
    <row r="50" spans="2:14" ht="8" customHeight="1">
      <c r="B50" s="645"/>
      <c r="C50" s="646"/>
      <c r="D50" s="646"/>
      <c r="E50" s="646"/>
      <c r="F50" s="646"/>
      <c r="G50" s="646"/>
      <c r="H50" s="647"/>
      <c r="I50" s="861"/>
      <c r="J50" s="687"/>
      <c r="K50" s="668"/>
      <c r="L50" s="666"/>
      <c r="M50" s="664"/>
      <c r="N50" s="652"/>
    </row>
    <row r="51" spans="2:14" ht="8" customHeight="1">
      <c r="B51" s="648"/>
      <c r="C51" s="649"/>
      <c r="D51" s="649"/>
      <c r="E51" s="649"/>
      <c r="F51" s="649"/>
      <c r="G51" s="649"/>
      <c r="H51" s="650"/>
      <c r="I51" s="862"/>
      <c r="J51" s="688"/>
      <c r="K51" s="689"/>
      <c r="L51" s="681"/>
      <c r="M51" s="682"/>
      <c r="N51" s="690"/>
    </row>
    <row r="52" spans="2:14" ht="8" customHeight="1">
      <c r="B52" s="738" t="s">
        <v>2755</v>
      </c>
      <c r="C52" s="739"/>
      <c r="D52" s="739"/>
      <c r="E52" s="739"/>
      <c r="F52" s="739"/>
      <c r="G52" s="739"/>
      <c r="H52" s="842"/>
      <c r="I52" s="861">
        <v>0</v>
      </c>
      <c r="J52" s="687" t="s">
        <v>13</v>
      </c>
      <c r="K52" s="667">
        <v>30</v>
      </c>
      <c r="L52" s="665" t="str">
        <f>IF('из города'!$AG$9=3,"Дол.",IF('из города'!$AG$9=1,"Руб.","Грн."))</f>
        <v>Грн.</v>
      </c>
      <c r="M52" s="663">
        <f>I52*K52</f>
        <v>0</v>
      </c>
      <c r="N52" s="651" t="str">
        <f>IF('из города'!$AG$9=3,"Дол.",IF('из города'!$AG$9=1,"Руб.","Грн."))</f>
        <v>Грн.</v>
      </c>
    </row>
    <row r="53" spans="2:14" ht="8" customHeight="1">
      <c r="B53" s="740"/>
      <c r="C53" s="741"/>
      <c r="D53" s="741"/>
      <c r="E53" s="741"/>
      <c r="F53" s="741"/>
      <c r="G53" s="741"/>
      <c r="H53" s="843"/>
      <c r="I53" s="861"/>
      <c r="J53" s="687"/>
      <c r="K53" s="668"/>
      <c r="L53" s="666"/>
      <c r="M53" s="664"/>
      <c r="N53" s="652"/>
    </row>
    <row r="54" spans="2:14" ht="8" customHeight="1">
      <c r="B54" s="742"/>
      <c r="C54" s="743"/>
      <c r="D54" s="743"/>
      <c r="E54" s="743"/>
      <c r="F54" s="743"/>
      <c r="G54" s="743"/>
      <c r="H54" s="844"/>
      <c r="I54" s="862"/>
      <c r="J54" s="688"/>
      <c r="K54" s="689"/>
      <c r="L54" s="681"/>
      <c r="M54" s="682"/>
      <c r="N54" s="690"/>
    </row>
    <row r="55" spans="2:14" ht="8" customHeight="1">
      <c r="B55" s="677" t="s">
        <v>2758</v>
      </c>
      <c r="C55" s="643"/>
      <c r="D55" s="643"/>
      <c r="E55" s="643"/>
      <c r="F55" s="643"/>
      <c r="G55" s="643"/>
      <c r="H55" s="644"/>
      <c r="I55" s="853">
        <v>0</v>
      </c>
      <c r="J55" s="687" t="s">
        <v>13</v>
      </c>
      <c r="K55" s="667">
        <v>30</v>
      </c>
      <c r="L55" s="665" t="str">
        <f>IF('из города'!$AG$9=3,"Дол.",IF('из города'!$AG$9=1,"Руб.","Грн."))</f>
        <v>Грн.</v>
      </c>
      <c r="M55" s="663">
        <f>I55*K55</f>
        <v>0</v>
      </c>
      <c r="N55" s="651" t="str">
        <f>IF('из города'!$AG$9=3,"Дол.",IF('из города'!$AG$9=1,"Руб.","Грн."))</f>
        <v>Грн.</v>
      </c>
    </row>
    <row r="56" spans="2:14" ht="8" customHeight="1">
      <c r="B56" s="645"/>
      <c r="C56" s="646"/>
      <c r="D56" s="646"/>
      <c r="E56" s="646"/>
      <c r="F56" s="646"/>
      <c r="G56" s="646"/>
      <c r="H56" s="647"/>
      <c r="I56" s="854"/>
      <c r="J56" s="687"/>
      <c r="K56" s="668"/>
      <c r="L56" s="666"/>
      <c r="M56" s="664"/>
      <c r="N56" s="652"/>
    </row>
    <row r="57" spans="2:14" ht="8" customHeight="1">
      <c r="B57" s="648"/>
      <c r="C57" s="649"/>
      <c r="D57" s="649"/>
      <c r="E57" s="649"/>
      <c r="F57" s="649"/>
      <c r="G57" s="649"/>
      <c r="H57" s="650"/>
      <c r="I57" s="855"/>
      <c r="J57" s="688"/>
      <c r="K57" s="689"/>
      <c r="L57" s="681"/>
      <c r="M57" s="682"/>
      <c r="N57" s="690"/>
    </row>
    <row r="58" spans="2:14" ht="8" customHeight="1">
      <c r="B58" s="677" t="s">
        <v>2751</v>
      </c>
      <c r="C58" s="643"/>
      <c r="D58" s="643"/>
      <c r="E58" s="643"/>
      <c r="F58" s="643"/>
      <c r="G58" s="643"/>
      <c r="H58" s="644"/>
      <c r="I58" s="853">
        <v>0</v>
      </c>
      <c r="J58" s="687" t="s">
        <v>13</v>
      </c>
      <c r="K58" s="667">
        <v>30</v>
      </c>
      <c r="L58" s="665" t="str">
        <f>IF('из города'!$AG$9=3,"Дол.",IF('из города'!$AG$9=1,"Руб.","Грн."))</f>
        <v>Грн.</v>
      </c>
      <c r="M58" s="663">
        <f>I58*K58</f>
        <v>0</v>
      </c>
      <c r="N58" s="651" t="str">
        <f>IF('из города'!$AG$9=3,"Дол.",IF('из города'!$AG$9=1,"Руб.","Грн."))</f>
        <v>Грн.</v>
      </c>
    </row>
    <row r="59" spans="2:14" ht="8" customHeight="1">
      <c r="B59" s="645"/>
      <c r="C59" s="646"/>
      <c r="D59" s="646"/>
      <c r="E59" s="646"/>
      <c r="F59" s="646"/>
      <c r="G59" s="646"/>
      <c r="H59" s="647"/>
      <c r="I59" s="854"/>
      <c r="J59" s="687"/>
      <c r="K59" s="668"/>
      <c r="L59" s="666"/>
      <c r="M59" s="664"/>
      <c r="N59" s="652"/>
    </row>
    <row r="60" spans="2:14" ht="8" customHeight="1">
      <c r="B60" s="648"/>
      <c r="C60" s="649"/>
      <c r="D60" s="649"/>
      <c r="E60" s="649"/>
      <c r="F60" s="649"/>
      <c r="G60" s="649"/>
      <c r="H60" s="650"/>
      <c r="I60" s="855"/>
      <c r="J60" s="688"/>
      <c r="K60" s="689"/>
      <c r="L60" s="681"/>
      <c r="M60" s="682"/>
      <c r="N60" s="690"/>
    </row>
    <row r="61" spans="2:14" ht="8" customHeight="1">
      <c r="B61" s="677" t="s">
        <v>2773</v>
      </c>
      <c r="C61" s="643"/>
      <c r="D61" s="643"/>
      <c r="E61" s="643"/>
      <c r="F61" s="643"/>
      <c r="G61" s="643"/>
      <c r="H61" s="644"/>
      <c r="I61" s="853">
        <v>0</v>
      </c>
      <c r="J61" s="687" t="s">
        <v>13</v>
      </c>
      <c r="K61" s="667">
        <v>10</v>
      </c>
      <c r="L61" s="665" t="str">
        <f>IF('из города'!$AG$9=3,"Дол.",IF('из города'!$AG$9=1,"Руб.","Грн."))</f>
        <v>Грн.</v>
      </c>
      <c r="M61" s="663">
        <f>I61*K61</f>
        <v>0</v>
      </c>
      <c r="N61" s="651" t="str">
        <f>IF('из города'!$AG$9=3,"Дол.",IF('из города'!$AG$9=1,"Руб.","Грн."))</f>
        <v>Грн.</v>
      </c>
    </row>
    <row r="62" spans="2:14" ht="8" customHeight="1">
      <c r="B62" s="645"/>
      <c r="C62" s="646"/>
      <c r="D62" s="646"/>
      <c r="E62" s="646"/>
      <c r="F62" s="646"/>
      <c r="G62" s="646"/>
      <c r="H62" s="647"/>
      <c r="I62" s="854"/>
      <c r="J62" s="687"/>
      <c r="K62" s="668"/>
      <c r="L62" s="666"/>
      <c r="M62" s="664"/>
      <c r="N62" s="652"/>
    </row>
    <row r="63" spans="2:14" ht="8" customHeight="1">
      <c r="B63" s="648"/>
      <c r="C63" s="649"/>
      <c r="D63" s="649"/>
      <c r="E63" s="649"/>
      <c r="F63" s="649"/>
      <c r="G63" s="649"/>
      <c r="H63" s="650"/>
      <c r="I63" s="855"/>
      <c r="J63" s="688"/>
      <c r="K63" s="689"/>
      <c r="L63" s="681"/>
      <c r="M63" s="682"/>
      <c r="N63" s="690"/>
    </row>
    <row r="64" spans="2:14" ht="8" customHeight="1">
      <c r="B64" s="677" t="s">
        <v>2774</v>
      </c>
      <c r="C64" s="643"/>
      <c r="D64" s="643"/>
      <c r="E64" s="643"/>
      <c r="F64" s="643"/>
      <c r="G64" s="643"/>
      <c r="H64" s="644"/>
      <c r="I64" s="853">
        <v>0</v>
      </c>
      <c r="J64" s="687" t="s">
        <v>13</v>
      </c>
      <c r="K64" s="667">
        <v>100</v>
      </c>
      <c r="L64" s="665" t="str">
        <f>IF('из города'!$AG$9=3,"Дол.",IF('из города'!$AG$9=1,"Руб.","Грн."))</f>
        <v>Грн.</v>
      </c>
      <c r="M64" s="663">
        <f>I64*K64</f>
        <v>0</v>
      </c>
      <c r="N64" s="651" t="str">
        <f>IF('из города'!$AG$9=3,"Дол.",IF('из города'!$AG$9=1,"Руб.","Грн."))</f>
        <v>Грн.</v>
      </c>
    </row>
    <row r="65" spans="1:14" ht="8" customHeight="1">
      <c r="B65" s="645"/>
      <c r="C65" s="646"/>
      <c r="D65" s="646"/>
      <c r="E65" s="646"/>
      <c r="F65" s="646"/>
      <c r="G65" s="646"/>
      <c r="H65" s="647"/>
      <c r="I65" s="861"/>
      <c r="J65" s="687"/>
      <c r="K65" s="668"/>
      <c r="L65" s="666"/>
      <c r="M65" s="664"/>
      <c r="N65" s="652"/>
    </row>
    <row r="66" spans="1:14" ht="8" customHeight="1">
      <c r="B66" s="648"/>
      <c r="C66" s="649"/>
      <c r="D66" s="649"/>
      <c r="E66" s="649"/>
      <c r="F66" s="649"/>
      <c r="G66" s="649"/>
      <c r="H66" s="650"/>
      <c r="I66" s="862"/>
      <c r="J66" s="688"/>
      <c r="K66" s="689"/>
      <c r="L66" s="681"/>
      <c r="M66" s="682"/>
      <c r="N66" s="690"/>
    </row>
    <row r="67" spans="1:14" ht="8" customHeight="1">
      <c r="B67" s="677" t="s">
        <v>2775</v>
      </c>
      <c r="C67" s="643"/>
      <c r="D67" s="643"/>
      <c r="E67" s="643"/>
      <c r="F67" s="643"/>
      <c r="G67" s="643"/>
      <c r="H67" s="644"/>
      <c r="I67" s="853">
        <v>0</v>
      </c>
      <c r="J67" s="686" t="s">
        <v>13</v>
      </c>
      <c r="K67" s="667">
        <v>100</v>
      </c>
      <c r="L67" s="665" t="str">
        <f>IF('из города'!$AG$9=3,"Дол.",IF('из города'!$AG$9=1,"Руб.","Грн."))</f>
        <v>Грн.</v>
      </c>
      <c r="M67" s="663">
        <f>I67*K67</f>
        <v>0</v>
      </c>
      <c r="N67" s="651" t="str">
        <f>IF('из города'!$AG$9=3,"Дол.",IF('из города'!$AG$9=1,"Руб.","Грн."))</f>
        <v>Грн.</v>
      </c>
    </row>
    <row r="68" spans="1:14" ht="8" customHeight="1">
      <c r="B68" s="645"/>
      <c r="C68" s="646"/>
      <c r="D68" s="646"/>
      <c r="E68" s="646"/>
      <c r="F68" s="646"/>
      <c r="G68" s="646"/>
      <c r="H68" s="647"/>
      <c r="I68" s="861"/>
      <c r="J68" s="687"/>
      <c r="K68" s="668"/>
      <c r="L68" s="666"/>
      <c r="M68" s="664"/>
      <c r="N68" s="652"/>
    </row>
    <row r="69" spans="1:14" ht="8" customHeight="1">
      <c r="B69" s="648"/>
      <c r="C69" s="649"/>
      <c r="D69" s="649"/>
      <c r="E69" s="649"/>
      <c r="F69" s="649"/>
      <c r="G69" s="649"/>
      <c r="H69" s="650"/>
      <c r="I69" s="862"/>
      <c r="J69" s="688"/>
      <c r="K69" s="689"/>
      <c r="L69" s="681"/>
      <c r="M69" s="682"/>
      <c r="N69" s="690"/>
    </row>
    <row r="70" spans="1:14" ht="8" customHeight="1">
      <c r="B70" s="677" t="s">
        <v>2776</v>
      </c>
      <c r="C70" s="643"/>
      <c r="D70" s="643"/>
      <c r="E70" s="643"/>
      <c r="F70" s="643"/>
      <c r="G70" s="643"/>
      <c r="H70" s="644"/>
      <c r="I70" s="853">
        <v>0</v>
      </c>
      <c r="J70" s="686" t="s">
        <v>21</v>
      </c>
      <c r="K70" s="667">
        <v>50</v>
      </c>
      <c r="L70" s="665" t="str">
        <f>IF('из города'!$AG$9=3,"Дол.",IF('из города'!$AG$9=1,"Руб.","Грн."))</f>
        <v>Грн.</v>
      </c>
      <c r="M70" s="663">
        <f>I70*K70</f>
        <v>0</v>
      </c>
      <c r="N70" s="651" t="str">
        <f>IF('из города'!$AG$9=3,"Дол.",IF('из города'!$AG$9=1,"Руб.","Грн."))</f>
        <v>Грн.</v>
      </c>
    </row>
    <row r="71" spans="1:14" ht="8" customHeight="1">
      <c r="B71" s="645"/>
      <c r="C71" s="646"/>
      <c r="D71" s="646"/>
      <c r="E71" s="646"/>
      <c r="F71" s="646"/>
      <c r="G71" s="646"/>
      <c r="H71" s="647"/>
      <c r="I71" s="861"/>
      <c r="J71" s="687"/>
      <c r="K71" s="668"/>
      <c r="L71" s="666"/>
      <c r="M71" s="664"/>
      <c r="N71" s="652"/>
    </row>
    <row r="72" spans="1:14" ht="8" customHeight="1">
      <c r="B72" s="648"/>
      <c r="C72" s="649"/>
      <c r="D72" s="649"/>
      <c r="E72" s="649"/>
      <c r="F72" s="649"/>
      <c r="G72" s="649"/>
      <c r="H72" s="650"/>
      <c r="I72" s="862"/>
      <c r="J72" s="688"/>
      <c r="K72" s="689"/>
      <c r="L72" s="681"/>
      <c r="M72" s="682"/>
      <c r="N72" s="690"/>
    </row>
    <row r="73" spans="1:14" ht="8" customHeight="1">
      <c r="A73" s="285" t="b">
        <v>0</v>
      </c>
      <c r="B73" s="749" t="s">
        <v>2723</v>
      </c>
      <c r="C73" s="750"/>
      <c r="D73" s="750"/>
      <c r="E73" s="750"/>
      <c r="F73" s="750"/>
      <c r="G73" s="750"/>
      <c r="H73" s="259"/>
      <c r="I73" s="259"/>
      <c r="J73" s="260"/>
      <c r="K73" s="845">
        <f>M73/L41</f>
        <v>0</v>
      </c>
      <c r="L73" s="759" t="s">
        <v>17</v>
      </c>
      <c r="M73" s="845">
        <f>IF(A73=TRUE,M49+M52+M55+M58+M61+M64+M67,0)</f>
        <v>0</v>
      </c>
      <c r="N73" s="679" t="str">
        <f>IF('из города'!$AG$9=3,"Дол.",IF('из города'!$AG$9=1,"Руб.","Грн."))</f>
        <v>Грн.</v>
      </c>
    </row>
    <row r="74" spans="1:14" ht="8" customHeight="1">
      <c r="B74" s="751"/>
      <c r="C74" s="752"/>
      <c r="D74" s="752"/>
      <c r="E74" s="752"/>
      <c r="F74" s="752"/>
      <c r="G74" s="752"/>
      <c r="H74" s="259"/>
      <c r="I74" s="259"/>
      <c r="J74" s="704"/>
      <c r="K74" s="747"/>
      <c r="L74" s="704"/>
      <c r="M74" s="747"/>
      <c r="N74" s="679"/>
    </row>
    <row r="75" spans="1:14" ht="8" customHeight="1">
      <c r="B75" s="751"/>
      <c r="C75" s="752"/>
      <c r="D75" s="752"/>
      <c r="E75" s="752"/>
      <c r="F75" s="752"/>
      <c r="G75" s="752"/>
      <c r="H75" s="259"/>
      <c r="I75" s="259"/>
      <c r="J75" s="704"/>
      <c r="K75" s="747"/>
      <c r="L75" s="704"/>
      <c r="M75" s="747"/>
      <c r="N75" s="679"/>
    </row>
    <row r="76" spans="1:14" ht="8" customHeight="1" thickBot="1">
      <c r="B76" s="753"/>
      <c r="C76" s="754"/>
      <c r="D76" s="754"/>
      <c r="E76" s="754"/>
      <c r="F76" s="754"/>
      <c r="G76" s="754"/>
      <c r="H76" s="261"/>
      <c r="I76" s="261"/>
      <c r="J76" s="705"/>
      <c r="K76" s="748"/>
      <c r="L76" s="705"/>
      <c r="M76" s="748"/>
      <c r="N76" s="763"/>
    </row>
    <row r="77" spans="1:14" ht="15" thickTop="1"/>
  </sheetData>
  <sheetProtection password="C665" sheet="1" objects="1" scenarios="1" selectLockedCells="1"/>
  <mergeCells count="110">
    <mergeCell ref="N70:N72"/>
    <mergeCell ref="B67:H69"/>
    <mergeCell ref="I67:I69"/>
    <mergeCell ref="B73:G76"/>
    <mergeCell ref="K73:K76"/>
    <mergeCell ref="L73:L76"/>
    <mergeCell ref="M73:M76"/>
    <mergeCell ref="N73:N76"/>
    <mergeCell ref="J74:J76"/>
    <mergeCell ref="B70:H72"/>
    <mergeCell ref="I70:I72"/>
    <mergeCell ref="J70:J72"/>
    <mergeCell ref="K70:K72"/>
    <mergeCell ref="L70:L72"/>
    <mergeCell ref="M70:M72"/>
    <mergeCell ref="N67:N69"/>
    <mergeCell ref="J67:J69"/>
    <mergeCell ref="K67:K69"/>
    <mergeCell ref="L67:L69"/>
    <mergeCell ref="M67:M69"/>
    <mergeCell ref="B64:H66"/>
    <mergeCell ref="I64:I66"/>
    <mergeCell ref="J64:J66"/>
    <mergeCell ref="K64:K66"/>
    <mergeCell ref="L64:L66"/>
    <mergeCell ref="M64:M66"/>
    <mergeCell ref="N64:N66"/>
    <mergeCell ref="B61:H63"/>
    <mergeCell ref="I61:I63"/>
    <mergeCell ref="J61:J63"/>
    <mergeCell ref="K61:K63"/>
    <mergeCell ref="L61:L63"/>
    <mergeCell ref="M61:M63"/>
    <mergeCell ref="N61:N63"/>
    <mergeCell ref="B58:H60"/>
    <mergeCell ref="I58:I60"/>
    <mergeCell ref="J58:J60"/>
    <mergeCell ref="K58:K60"/>
    <mergeCell ref="L58:L60"/>
    <mergeCell ref="M58:M60"/>
    <mergeCell ref="N58:N60"/>
    <mergeCell ref="B55:H57"/>
    <mergeCell ref="I55:I57"/>
    <mergeCell ref="M52:M54"/>
    <mergeCell ref="J55:J57"/>
    <mergeCell ref="K55:K57"/>
    <mergeCell ref="L55:L57"/>
    <mergeCell ref="M55:M57"/>
    <mergeCell ref="M49:M51"/>
    <mergeCell ref="N49:N51"/>
    <mergeCell ref="N52:N54"/>
    <mergeCell ref="N55:N57"/>
    <mergeCell ref="B49:H51"/>
    <mergeCell ref="I49:I51"/>
    <mergeCell ref="J49:J51"/>
    <mergeCell ref="K49:K51"/>
    <mergeCell ref="L49:L51"/>
    <mergeCell ref="B52:H54"/>
    <mergeCell ref="I52:I54"/>
    <mergeCell ref="J52:J54"/>
    <mergeCell ref="K52:K54"/>
    <mergeCell ref="L52:L54"/>
    <mergeCell ref="B13:H13"/>
    <mergeCell ref="B10:H10"/>
    <mergeCell ref="B11:H11"/>
    <mergeCell ref="B7:H7"/>
    <mergeCell ref="B9:H9"/>
    <mergeCell ref="B12:H12"/>
    <mergeCell ref="B44:N45"/>
    <mergeCell ref="B46:H48"/>
    <mergeCell ref="I46:J48"/>
    <mergeCell ref="K46:L48"/>
    <mergeCell ref="M46:N48"/>
    <mergeCell ref="B24:H24"/>
    <mergeCell ref="B14:H14"/>
    <mergeCell ref="B22:H22"/>
    <mergeCell ref="B15:H15"/>
    <mergeCell ref="B18:H18"/>
    <mergeCell ref="B25:H25"/>
    <mergeCell ref="B23:H23"/>
    <mergeCell ref="B21:H21"/>
    <mergeCell ref="B20:H20"/>
    <mergeCell ref="B19:H19"/>
    <mergeCell ref="B16:H16"/>
    <mergeCell ref="B17:H17"/>
    <mergeCell ref="B38:H38"/>
    <mergeCell ref="K1:L1"/>
    <mergeCell ref="B2:N3"/>
    <mergeCell ref="B4:H4"/>
    <mergeCell ref="I4:J4"/>
    <mergeCell ref="K4:L4"/>
    <mergeCell ref="M4:N4"/>
    <mergeCell ref="B5:H5"/>
    <mergeCell ref="B8:H8"/>
    <mergeCell ref="B6:H6"/>
    <mergeCell ref="B39:H39"/>
    <mergeCell ref="B40:H40"/>
    <mergeCell ref="B41:H41"/>
    <mergeCell ref="B34:H34"/>
    <mergeCell ref="B35:H35"/>
    <mergeCell ref="B26:H26"/>
    <mergeCell ref="B27:H27"/>
    <mergeCell ref="B36:H36"/>
    <mergeCell ref="B37:H37"/>
    <mergeCell ref="B28:H28"/>
    <mergeCell ref="B29:H29"/>
    <mergeCell ref="B30:H30"/>
    <mergeCell ref="B31:H31"/>
    <mergeCell ref="B32:H32"/>
    <mergeCell ref="B33:H33"/>
  </mergeCells>
  <hyperlinks>
    <hyperlink ref="E1" location="Купол!A1" display="Купол"/>
    <hyperlink ref="F1" location="козырёк!A1" display="Козырьки"/>
    <hyperlink ref="H1" location="'Стены 1'!A1" display="Стены 1"/>
    <hyperlink ref="I1" location="Перекрытие2!A1" display="Перекрытие 2"/>
    <hyperlink ref="J1" location="Стены2!A1" display="Стены 2"/>
    <hyperlink ref="K1" location="Башня!A1" display="Обзорная башня"/>
    <hyperlink ref="N1" location="Доставка!A1" display="Окна"/>
    <hyperlink ref="D1" location="'Смета фунд.'!A1" display="Смета фундамента"/>
    <hyperlink ref="M1" location="Окна!A1" display="Окна"/>
    <hyperlink ref="B1" location="Главная!A1" display="Главная"/>
    <hyperlink ref="G1" location="'Перекрытия 1'!A1" display="Перекр.1"/>
    <hyperlink ref="C1" location="'Район фунд.'!A1" display="Район фундамента"/>
  </hyperlink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5"/>
  <dimension ref="A1:P79"/>
  <sheetViews>
    <sheetView showGridLines="0" showRowColHeaders="0" zoomScale="110" zoomScaleNormal="110" workbookViewId="0">
      <pane ySplit="1" topLeftCell="A2" activePane="bottomLeft" state="frozen"/>
      <selection pane="bottomLeft" activeCell="B1" sqref="B1"/>
    </sheetView>
  </sheetViews>
  <sheetFormatPr defaultRowHeight="14.5"/>
  <cols>
    <col min="1" max="1" width="8.08984375" style="174" customWidth="1"/>
    <col min="2" max="10" width="9.7265625" style="174" customWidth="1"/>
    <col min="11" max="12" width="10.08984375" style="174" customWidth="1"/>
    <col min="13" max="16384" width="8.7265625" style="174"/>
  </cols>
  <sheetData>
    <row r="1" spans="1:16" ht="20" customHeight="1" thickTop="1" thickBot="1">
      <c r="B1" s="204" t="s">
        <v>2612</v>
      </c>
      <c r="C1" s="395" t="s">
        <v>2682</v>
      </c>
      <c r="D1" s="395" t="s">
        <v>2662</v>
      </c>
      <c r="E1" s="395" t="s">
        <v>2603</v>
      </c>
      <c r="F1" s="395" t="s">
        <v>2604</v>
      </c>
      <c r="G1" s="395" t="s">
        <v>2613</v>
      </c>
      <c r="H1" s="395" t="s">
        <v>2607</v>
      </c>
      <c r="I1" s="395" t="s">
        <v>2614</v>
      </c>
      <c r="J1" s="395" t="s">
        <v>2608</v>
      </c>
      <c r="K1" s="519" t="s">
        <v>2605</v>
      </c>
      <c r="L1" s="520"/>
      <c r="M1" s="398" t="s">
        <v>2606</v>
      </c>
      <c r="N1" s="395" t="s">
        <v>2634</v>
      </c>
    </row>
    <row r="2" spans="1:16" ht="20" customHeight="1" thickTop="1">
      <c r="B2" s="913" t="s">
        <v>2777</v>
      </c>
      <c r="C2" s="817"/>
      <c r="D2" s="817"/>
      <c r="E2" s="817"/>
      <c r="F2" s="817"/>
      <c r="G2" s="817"/>
      <c r="H2" s="817"/>
      <c r="I2" s="817"/>
      <c r="J2" s="817"/>
      <c r="K2" s="817"/>
      <c r="L2" s="817"/>
      <c r="M2" s="817"/>
      <c r="N2" s="914"/>
    </row>
    <row r="3" spans="1:16" ht="20" customHeight="1" thickBot="1">
      <c r="B3" s="915"/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819"/>
      <c r="N3" s="916"/>
    </row>
    <row r="4" spans="1:16" ht="34.5" customHeight="1" thickTop="1" thickBot="1">
      <c r="B4" s="903" t="s">
        <v>0</v>
      </c>
      <c r="C4" s="904"/>
      <c r="D4" s="904"/>
      <c r="E4" s="904"/>
      <c r="F4" s="904"/>
      <c r="G4" s="904"/>
      <c r="H4" s="905"/>
      <c r="I4" s="906" t="s">
        <v>1</v>
      </c>
      <c r="J4" s="907"/>
      <c r="K4" s="911" t="s">
        <v>2</v>
      </c>
      <c r="L4" s="912"/>
      <c r="M4" s="911" t="s">
        <v>3</v>
      </c>
      <c r="N4" s="912"/>
    </row>
    <row r="5" spans="1:16" ht="20" customHeight="1" thickTop="1">
      <c r="B5" s="890" t="s">
        <v>2788</v>
      </c>
      <c r="C5" s="891"/>
      <c r="D5" s="891"/>
      <c r="E5" s="891"/>
      <c r="F5" s="891"/>
      <c r="G5" s="891"/>
      <c r="H5" s="892"/>
      <c r="I5" s="353">
        <v>1</v>
      </c>
      <c r="J5" s="378" t="s">
        <v>11</v>
      </c>
      <c r="K5" s="409">
        <v>4000</v>
      </c>
      <c r="L5" s="374" t="str">
        <f>IF('из города'!$AG$9=3,"Дол.",IF('из города'!$AG$9=1,"Руб.","Грн."))</f>
        <v>Грн.</v>
      </c>
      <c r="M5" s="419">
        <f t="shared" ref="M5:M39" si="0">I5*K5</f>
        <v>4000</v>
      </c>
      <c r="N5" s="341" t="str">
        <f>IF('из города'!$AG$9=3,"Дол.",IF('из города'!$AG$9=1,"Руб.","Грн."))</f>
        <v>Грн.</v>
      </c>
    </row>
    <row r="6" spans="1:16" ht="20" customHeight="1">
      <c r="B6" s="884" t="s">
        <v>2787</v>
      </c>
      <c r="C6" s="885"/>
      <c r="D6" s="885"/>
      <c r="E6" s="885"/>
      <c r="F6" s="885"/>
      <c r="G6" s="885"/>
      <c r="H6" s="886"/>
      <c r="I6" s="353">
        <v>1</v>
      </c>
      <c r="J6" s="378" t="s">
        <v>21</v>
      </c>
      <c r="K6" s="409">
        <v>75</v>
      </c>
      <c r="L6" s="374" t="str">
        <f>IF('из города'!$AG$9=3,"Дол.",IF('из города'!$AG$9=1,"Руб.","Грн."))</f>
        <v>Грн.</v>
      </c>
      <c r="M6" s="420">
        <f t="shared" si="0"/>
        <v>75</v>
      </c>
      <c r="N6" s="342" t="str">
        <f>IF('из города'!$AG$9=3,"Дол.",IF('из города'!$AG$9=1,"Руб.","Грн."))</f>
        <v>Грн.</v>
      </c>
    </row>
    <row r="7" spans="1:16" ht="20" customHeight="1">
      <c r="B7" s="884" t="s">
        <v>2778</v>
      </c>
      <c r="C7" s="885"/>
      <c r="D7" s="885"/>
      <c r="E7" s="885"/>
      <c r="F7" s="885"/>
      <c r="G7" s="885"/>
      <c r="H7" s="886"/>
      <c r="I7" s="438">
        <v>1</v>
      </c>
      <c r="J7" s="378" t="s">
        <v>12</v>
      </c>
      <c r="K7" s="409">
        <v>150</v>
      </c>
      <c r="L7" s="374" t="str">
        <f>IF('из города'!$AG$9=3,"Дол.",IF('из города'!$AG$9=1,"Руб.","Грн."))</f>
        <v>Грн.</v>
      </c>
      <c r="M7" s="420">
        <f t="shared" si="0"/>
        <v>150</v>
      </c>
      <c r="N7" s="342" t="str">
        <f>IF('из города'!$AG$9=3,"Дол.",IF('из города'!$AG$9=1,"Руб.","Грн."))</f>
        <v>Грн.</v>
      </c>
    </row>
    <row r="8" spans="1:16" ht="20" customHeight="1">
      <c r="B8" s="884" t="s">
        <v>2789</v>
      </c>
      <c r="C8" s="885"/>
      <c r="D8" s="885"/>
      <c r="E8" s="885"/>
      <c r="F8" s="885"/>
      <c r="G8" s="885"/>
      <c r="H8" s="886"/>
      <c r="I8" s="353">
        <v>1</v>
      </c>
      <c r="J8" s="378" t="s">
        <v>21</v>
      </c>
      <c r="K8" s="409">
        <v>10</v>
      </c>
      <c r="L8" s="374" t="str">
        <f>IF('из города'!$AG$9=3,"Дол.",IF('из города'!$AG$9=1,"Руб.","Грн."))</f>
        <v>Грн.</v>
      </c>
      <c r="M8" s="420">
        <f t="shared" si="0"/>
        <v>10</v>
      </c>
      <c r="N8" s="342" t="str">
        <f>IF('из города'!$AG$9=3,"Дол.",IF('из города'!$AG$9=1,"Руб.","Грн."))</f>
        <v>Грн.</v>
      </c>
    </row>
    <row r="9" spans="1:16" ht="20" customHeight="1">
      <c r="B9" s="884" t="s">
        <v>2779</v>
      </c>
      <c r="C9" s="885"/>
      <c r="D9" s="885"/>
      <c r="E9" s="885"/>
      <c r="F9" s="885"/>
      <c r="G9" s="885"/>
      <c r="H9" s="886"/>
      <c r="I9" s="353">
        <v>1</v>
      </c>
      <c r="J9" s="378" t="s">
        <v>21</v>
      </c>
      <c r="K9" s="409">
        <v>18</v>
      </c>
      <c r="L9" s="374" t="str">
        <f>IF('из города'!$AG$9=3,"Дол.",IF('из города'!$AG$9=1,"Руб.","Грн."))</f>
        <v>Грн.</v>
      </c>
      <c r="M9" s="420">
        <f t="shared" si="0"/>
        <v>18</v>
      </c>
      <c r="N9" s="342" t="str">
        <f>IF('из города'!$AG$9=3,"Дол.",IF('из города'!$AG$9=1,"Руб.","Грн."))</f>
        <v>Грн.</v>
      </c>
    </row>
    <row r="10" spans="1:16" ht="20" customHeight="1">
      <c r="B10" s="884" t="s">
        <v>2780</v>
      </c>
      <c r="C10" s="885"/>
      <c r="D10" s="885"/>
      <c r="E10" s="885"/>
      <c r="F10" s="885"/>
      <c r="G10" s="885"/>
      <c r="H10" s="886"/>
      <c r="I10" s="353">
        <v>1</v>
      </c>
      <c r="J10" s="378" t="s">
        <v>21</v>
      </c>
      <c r="K10" s="409">
        <v>50</v>
      </c>
      <c r="L10" s="374" t="str">
        <f>IF('из города'!$AG$9=3,"Дол.",IF('из города'!$AG$9=1,"Руб.","Грн."))</f>
        <v>Грн.</v>
      </c>
      <c r="M10" s="420">
        <f t="shared" si="0"/>
        <v>50</v>
      </c>
      <c r="N10" s="342" t="str">
        <f>IF('из города'!$AG$9=3,"Дол.",IF('из города'!$AG$9=1,"Руб.","Грн."))</f>
        <v>Грн.</v>
      </c>
    </row>
    <row r="11" spans="1:16" ht="20" customHeight="1">
      <c r="B11" s="884" t="s">
        <v>2781</v>
      </c>
      <c r="C11" s="885"/>
      <c r="D11" s="885"/>
      <c r="E11" s="885"/>
      <c r="F11" s="885"/>
      <c r="G11" s="885"/>
      <c r="H11" s="886"/>
      <c r="I11" s="353">
        <v>1</v>
      </c>
      <c r="J11" s="378" t="s">
        <v>2108</v>
      </c>
      <c r="K11" s="409">
        <v>4000</v>
      </c>
      <c r="L11" s="374" t="str">
        <f>IF('из города'!$AG$9=3,"Дол.",IF('из города'!$AG$9=1,"Руб.","Грн."))</f>
        <v>Грн.</v>
      </c>
      <c r="M11" s="420">
        <f t="shared" si="0"/>
        <v>4000</v>
      </c>
      <c r="N11" s="342" t="str">
        <f>IF('из города'!$AG$9=3,"Дол.",IF('из города'!$AG$9=1,"Руб.","Грн."))</f>
        <v>Грн.</v>
      </c>
    </row>
    <row r="12" spans="1:16" ht="20" customHeight="1">
      <c r="B12" s="887" t="s">
        <v>2782</v>
      </c>
      <c r="C12" s="888"/>
      <c r="D12" s="888"/>
      <c r="E12" s="888"/>
      <c r="F12" s="888"/>
      <c r="G12" s="888"/>
      <c r="H12" s="889"/>
      <c r="I12" s="353">
        <v>1</v>
      </c>
      <c r="J12" s="378" t="s">
        <v>12</v>
      </c>
      <c r="K12" s="409">
        <v>140</v>
      </c>
      <c r="L12" s="374" t="str">
        <f>IF('из города'!$AG$9=3,"Дол.",IF('из города'!$AG$9=1,"Руб.","Грн."))</f>
        <v>Грн.</v>
      </c>
      <c r="M12" s="420">
        <f t="shared" si="0"/>
        <v>140</v>
      </c>
      <c r="N12" s="342" t="str">
        <f>IF('из города'!$AG$9=3,"Дол.",IF('из города'!$AG$9=1,"Руб.","Грн."))</f>
        <v>Грн.</v>
      </c>
    </row>
    <row r="13" spans="1:16" ht="20" customHeight="1">
      <c r="B13" s="677" t="s">
        <v>2790</v>
      </c>
      <c r="C13" s="643"/>
      <c r="D13" s="643"/>
      <c r="E13" s="643"/>
      <c r="F13" s="643"/>
      <c r="G13" s="643"/>
      <c r="H13" s="644"/>
      <c r="I13" s="439">
        <v>1</v>
      </c>
      <c r="J13" s="377" t="s">
        <v>12</v>
      </c>
      <c r="K13" s="409">
        <v>140</v>
      </c>
      <c r="L13" s="375" t="str">
        <f>IF('из города'!$AG$9=3,"Дол.",IF('из города'!$AG$9=1,"Руб.","Грн."))</f>
        <v>Грн.</v>
      </c>
      <c r="M13" s="421">
        <f t="shared" si="0"/>
        <v>140</v>
      </c>
      <c r="N13" s="331" t="str">
        <f>IF('из города'!$AG$9=3,"Дол.",IF('из города'!$AG$9=1,"Руб.","Грн."))</f>
        <v>Грн.</v>
      </c>
    </row>
    <row r="14" spans="1:16" ht="20" customHeight="1">
      <c r="B14" s="642" t="s">
        <v>2783</v>
      </c>
      <c r="C14" s="718"/>
      <c r="D14" s="718"/>
      <c r="E14" s="718"/>
      <c r="F14" s="718"/>
      <c r="G14" s="718"/>
      <c r="H14" s="719"/>
      <c r="I14" s="335">
        <v>1</v>
      </c>
      <c r="J14" s="377" t="s">
        <v>2791</v>
      </c>
      <c r="K14" s="409">
        <v>130</v>
      </c>
      <c r="L14" s="375" t="str">
        <f>IF('из города'!$AG$9=3,"Дол.",IF('из города'!$AG$9=1,"Руб.","Грн."))</f>
        <v>Грн.</v>
      </c>
      <c r="M14" s="421">
        <f t="shared" si="0"/>
        <v>130</v>
      </c>
      <c r="N14" s="331" t="str">
        <f>IF('из города'!$AG$9=3,"Дол.",IF('из города'!$AG$9=1,"Руб.","Грн."))</f>
        <v>Грн.</v>
      </c>
    </row>
    <row r="15" spans="1:16" ht="20" customHeight="1">
      <c r="B15" s="642" t="s">
        <v>2792</v>
      </c>
      <c r="C15" s="718"/>
      <c r="D15" s="718"/>
      <c r="E15" s="718"/>
      <c r="F15" s="718"/>
      <c r="G15" s="718"/>
      <c r="H15" s="719"/>
      <c r="I15" s="335">
        <v>11</v>
      </c>
      <c r="J15" s="377" t="s">
        <v>12</v>
      </c>
      <c r="K15" s="409">
        <v>125</v>
      </c>
      <c r="L15" s="375" t="str">
        <f>IF('из города'!$AG$9=3,"Дол.",IF('из города'!$AG$9=1,"Руб.","Грн."))</f>
        <v>Грн.</v>
      </c>
      <c r="M15" s="421">
        <f t="shared" si="0"/>
        <v>1375</v>
      </c>
      <c r="N15" s="331" t="str">
        <f>IF('из города'!$AG$9=3,"Дол.",IF('из города'!$AG$9=1,"Руб.","Грн."))</f>
        <v>Грн.</v>
      </c>
    </row>
    <row r="16" spans="1:16" ht="20" customHeight="1">
      <c r="A16" s="181">
        <v>1.82</v>
      </c>
      <c r="B16" s="887" t="s">
        <v>2862</v>
      </c>
      <c r="C16" s="888"/>
      <c r="D16" s="888"/>
      <c r="E16" s="888"/>
      <c r="F16" s="888"/>
      <c r="G16" s="888"/>
      <c r="H16" s="889"/>
      <c r="I16" s="335">
        <v>1</v>
      </c>
      <c r="J16" s="377" t="s">
        <v>2784</v>
      </c>
      <c r="K16" s="409">
        <v>1</v>
      </c>
      <c r="L16" s="375" t="str">
        <f>IF('из города'!$AG$9=3,"$ за окно",IF('из города'!$AG$9=1,"Руб за окно","Грн за окно"))</f>
        <v>Грн за окно</v>
      </c>
      <c r="M16" s="421">
        <f>I16*K16</f>
        <v>1</v>
      </c>
      <c r="N16" s="331" t="str">
        <f>IF('из города'!$AG$9=3,"Дол.",IF('из города'!$AG$9=1,"Руб.","Грн."))</f>
        <v>Грн.</v>
      </c>
      <c r="O16" s="181">
        <f>(1.3+1.4)*2*I16</f>
        <v>5.4</v>
      </c>
      <c r="P16" s="181" t="s">
        <v>21</v>
      </c>
    </row>
    <row r="17" spans="1:16" ht="20" customHeight="1">
      <c r="A17" s="181">
        <v>0.96</v>
      </c>
      <c r="B17" s="887" t="s">
        <v>2863</v>
      </c>
      <c r="C17" s="888"/>
      <c r="D17" s="888"/>
      <c r="E17" s="888"/>
      <c r="F17" s="888"/>
      <c r="G17" s="888"/>
      <c r="H17" s="889"/>
      <c r="I17" s="335">
        <v>1</v>
      </c>
      <c r="J17" s="377" t="s">
        <v>2785</v>
      </c>
      <c r="K17" s="409">
        <v>1</v>
      </c>
      <c r="L17" s="375" t="str">
        <f>IF('из города'!$AG$9=3,"$ за окно",IF('из города'!$AG$9=1,"Руб за окно","Грн за окно"))</f>
        <v>Грн за окно</v>
      </c>
      <c r="M17" s="421">
        <f t="shared" ref="M17:M22" si="1">I17*K17</f>
        <v>1</v>
      </c>
      <c r="N17" s="331" t="str">
        <f>IF('из города'!$AG$9=3,"Дол.",IF('из города'!$AG$9=1,"Руб.","Грн."))</f>
        <v>Грн.</v>
      </c>
      <c r="O17" s="181">
        <f>(0.8+1.2)*2*I17</f>
        <v>4</v>
      </c>
      <c r="P17" s="181" t="s">
        <v>21</v>
      </c>
    </row>
    <row r="18" spans="1:16" ht="20" customHeight="1">
      <c r="A18" s="181">
        <v>0.3569</v>
      </c>
      <c r="B18" s="887" t="s">
        <v>2864</v>
      </c>
      <c r="C18" s="888"/>
      <c r="D18" s="888"/>
      <c r="E18" s="888"/>
      <c r="F18" s="888"/>
      <c r="G18" s="888"/>
      <c r="H18" s="889"/>
      <c r="I18" s="335">
        <v>1</v>
      </c>
      <c r="J18" s="377" t="s">
        <v>2786</v>
      </c>
      <c r="K18" s="409">
        <v>1</v>
      </c>
      <c r="L18" s="375" t="str">
        <f>IF('из города'!$AG$9=3,"$ за окно",IF('из города'!$AG$9=1,"Руб за окно","Грн за окно"))</f>
        <v>Грн за окно</v>
      </c>
      <c r="M18" s="421">
        <f t="shared" si="1"/>
        <v>1</v>
      </c>
      <c r="N18" s="331" t="str">
        <f>IF('из города'!$AG$9=3,"Дол.",IF('из города'!$AG$9=1,"Руб.","Грн."))</f>
        <v>Грн.</v>
      </c>
      <c r="O18" s="181">
        <f>IF(Башня!A41=TRUE,(0.83*0.43)*2*I18,0)</f>
        <v>0</v>
      </c>
      <c r="P18" s="181" t="s">
        <v>21</v>
      </c>
    </row>
    <row r="19" spans="1:16" ht="20" customHeight="1">
      <c r="A19" s="181">
        <v>0.52290000000000003</v>
      </c>
      <c r="B19" s="887" t="s">
        <v>2865</v>
      </c>
      <c r="C19" s="888"/>
      <c r="D19" s="888"/>
      <c r="E19" s="888"/>
      <c r="F19" s="888"/>
      <c r="G19" s="888"/>
      <c r="H19" s="889"/>
      <c r="I19" s="335">
        <v>1</v>
      </c>
      <c r="J19" s="377" t="s">
        <v>2785</v>
      </c>
      <c r="K19" s="409">
        <v>1</v>
      </c>
      <c r="L19" s="375" t="str">
        <f>IF('из города'!$AG$9=3,"$ за окно",IF('из города'!$AG$9=1,"Руб за окно","Грн за окно"))</f>
        <v>Грн за окно</v>
      </c>
      <c r="M19" s="421">
        <f t="shared" si="1"/>
        <v>1</v>
      </c>
      <c r="N19" s="331" t="str">
        <f>IF('из города'!$AG$9=3,"Дол.",IF('из города'!$AG$9=1,"Руб.","Грн."))</f>
        <v>Грн.</v>
      </c>
      <c r="O19" s="181">
        <f>IF(Башня!A41=TRUE,(0.83+0.63)*2*I19,0)</f>
        <v>0</v>
      </c>
      <c r="P19" s="181" t="s">
        <v>21</v>
      </c>
    </row>
    <row r="20" spans="1:16" ht="19" customHeight="1">
      <c r="A20" s="181">
        <v>0.80521200000000004</v>
      </c>
      <c r="B20" s="887" t="s">
        <v>2865</v>
      </c>
      <c r="C20" s="888"/>
      <c r="D20" s="888"/>
      <c r="E20" s="888"/>
      <c r="F20" s="888"/>
      <c r="G20" s="888"/>
      <c r="H20" s="889"/>
      <c r="I20" s="335">
        <v>1</v>
      </c>
      <c r="J20" s="377" t="s">
        <v>2785</v>
      </c>
      <c r="K20" s="409">
        <v>1</v>
      </c>
      <c r="L20" s="375" t="str">
        <f>IF('из города'!$AG$9=3,"$ за окно",IF('из города'!$AG$9=1,"Руб за окно","Грн за окно"))</f>
        <v>Грн за окно</v>
      </c>
      <c r="M20" s="421">
        <f t="shared" si="1"/>
        <v>1</v>
      </c>
      <c r="N20" s="331" t="str">
        <f>IF('из города'!$AG$9=3,"Дол.",IF('из города'!$AG$9=1,"Руб.","Грн."))</f>
        <v>Грн.</v>
      </c>
      <c r="O20" s="181">
        <f>(1.45+1.38+1.27)*I20</f>
        <v>4.0999999999999996</v>
      </c>
      <c r="P20" s="181" t="s">
        <v>21</v>
      </c>
    </row>
    <row r="21" spans="1:16" ht="18.5" customHeight="1">
      <c r="A21" s="181">
        <v>0.80521200000000004</v>
      </c>
      <c r="B21" s="887" t="s">
        <v>2866</v>
      </c>
      <c r="C21" s="888"/>
      <c r="D21" s="888"/>
      <c r="E21" s="888"/>
      <c r="F21" s="888"/>
      <c r="G21" s="888"/>
      <c r="H21" s="889"/>
      <c r="I21" s="335">
        <v>1</v>
      </c>
      <c r="J21" s="377" t="s">
        <v>2869</v>
      </c>
      <c r="K21" s="409">
        <v>1</v>
      </c>
      <c r="L21" s="375" t="str">
        <f>IF('из города'!$AG$9=3,"$ за дверь",IF('из города'!$AG$9=1,"Руб за дверь","Грн за дверь"))</f>
        <v>Грн за дверь</v>
      </c>
      <c r="M21" s="421">
        <f t="shared" si="1"/>
        <v>1</v>
      </c>
      <c r="N21" s="331" t="str">
        <f>IF('из города'!$AG$9=3,"Дол.",IF('из города'!$AG$9=1,"Руб.","Грн."))</f>
        <v>Грн.</v>
      </c>
      <c r="O21" s="181">
        <f>(1.45+1.38+1.27)*I21</f>
        <v>4.0999999999999996</v>
      </c>
      <c r="P21" s="181" t="s">
        <v>21</v>
      </c>
    </row>
    <row r="22" spans="1:16" ht="18.5" customHeight="1">
      <c r="A22" s="181">
        <v>0.87672000000000005</v>
      </c>
      <c r="B22" s="887" t="s">
        <v>2867</v>
      </c>
      <c r="C22" s="888"/>
      <c r="D22" s="888"/>
      <c r="E22" s="888"/>
      <c r="F22" s="888"/>
      <c r="G22" s="888"/>
      <c r="H22" s="889"/>
      <c r="I22" s="335">
        <v>1</v>
      </c>
      <c r="J22" s="377" t="s">
        <v>2868</v>
      </c>
      <c r="K22" s="409">
        <v>1</v>
      </c>
      <c r="L22" s="375" t="str">
        <f>IF('из города'!$AG$9=3,"$ за ворота",IF('из города'!$AG$9=1,"Руб за ворота","Грн за ворота"))</f>
        <v>Грн за ворота</v>
      </c>
      <c r="M22" s="421">
        <f t="shared" si="1"/>
        <v>1</v>
      </c>
      <c r="N22" s="342" t="str">
        <f>IF('из города'!$AG$9=3,"Дол.",IF('из города'!$AG$9=1,"Руб.","Грн."))</f>
        <v>Грн.</v>
      </c>
      <c r="O22" s="181">
        <f>(1.5+1.39+1.39)*I22</f>
        <v>4.2799999999999994</v>
      </c>
      <c r="P22" s="181" t="s">
        <v>21</v>
      </c>
    </row>
    <row r="23" spans="1:16" ht="20" customHeight="1">
      <c r="A23" s="181">
        <v>0.75838899999999998</v>
      </c>
      <c r="B23" s="887" t="s">
        <v>2870</v>
      </c>
      <c r="C23" s="888"/>
      <c r="D23" s="888"/>
      <c r="E23" s="888"/>
      <c r="F23" s="888"/>
      <c r="G23" s="888"/>
      <c r="H23" s="889"/>
      <c r="I23" s="335">
        <v>1</v>
      </c>
      <c r="J23" s="377" t="s">
        <v>2869</v>
      </c>
      <c r="K23" s="409">
        <v>1</v>
      </c>
      <c r="L23" s="375" t="str">
        <f>IF('из города'!$AG$9=3,"$ за дверь",IF('из города'!$AG$9=1,"Руб за дверь","Грн за дверь"))</f>
        <v>Грн за дверь</v>
      </c>
      <c r="M23" s="421">
        <f t="shared" ref="M23" si="2">I23*K23</f>
        <v>1</v>
      </c>
      <c r="N23" s="331" t="str">
        <f>IF('из города'!$AG$9=3,"Дол.",IF('из города'!$AG$9=1,"Руб.","Грн."))</f>
        <v>Грн.</v>
      </c>
    </row>
    <row r="24" spans="1:16" ht="20" customHeight="1">
      <c r="A24" s="181">
        <v>0.63745799999999997</v>
      </c>
      <c r="B24" s="887" t="s">
        <v>2871</v>
      </c>
      <c r="C24" s="888"/>
      <c r="D24" s="888"/>
      <c r="E24" s="888"/>
      <c r="F24" s="888"/>
      <c r="G24" s="888"/>
      <c r="H24" s="889"/>
      <c r="I24" s="335">
        <v>1</v>
      </c>
      <c r="J24" s="377" t="s">
        <v>2869</v>
      </c>
      <c r="K24" s="409">
        <v>1</v>
      </c>
      <c r="L24" s="375" t="str">
        <f>IF('из города'!$AG$9=3,"$ за дверь",IF('из города'!$AG$9=1,"Руб за дверь","Грн за дверь"))</f>
        <v>Грн за дверь</v>
      </c>
      <c r="M24" s="421">
        <f t="shared" ref="M24" si="3">I24*K24</f>
        <v>1</v>
      </c>
      <c r="N24" s="331" t="str">
        <f>IF('из города'!$AG$9=3,"Дол.",IF('из города'!$AG$9=1,"Руб.","Грн."))</f>
        <v>Грн.</v>
      </c>
    </row>
    <row r="25" spans="1:16" ht="19" customHeight="1">
      <c r="B25" s="887" t="s">
        <v>2872</v>
      </c>
      <c r="C25" s="888"/>
      <c r="D25" s="888"/>
      <c r="E25" s="888"/>
      <c r="F25" s="888"/>
      <c r="G25" s="888"/>
      <c r="H25" s="889"/>
      <c r="I25" s="335">
        <v>1</v>
      </c>
      <c r="J25" s="377" t="s">
        <v>2869</v>
      </c>
      <c r="K25" s="409">
        <v>1</v>
      </c>
      <c r="L25" s="375" t="str">
        <f>IF('из города'!$AG$9=3,"$ за дверь",IF('из города'!$AG$9=1,"Руб за дверь","Грн за дверь"))</f>
        <v>Грн за дверь</v>
      </c>
      <c r="M25" s="421">
        <f t="shared" ref="M25" si="4">I25*K25</f>
        <v>1</v>
      </c>
      <c r="N25" s="331" t="str">
        <f>IF('из города'!$AG$9=3,"Дол.",IF('из города'!$AG$9=1,"Руб.","Грн."))</f>
        <v>Грн.</v>
      </c>
    </row>
    <row r="26" spans="1:16" ht="20" customHeight="1">
      <c r="B26" s="893" t="s">
        <v>2114</v>
      </c>
      <c r="C26" s="894"/>
      <c r="D26" s="894"/>
      <c r="E26" s="894"/>
      <c r="F26" s="894"/>
      <c r="G26" s="894"/>
      <c r="H26" s="902"/>
      <c r="I26" s="353"/>
      <c r="J26" s="365" t="s">
        <v>23</v>
      </c>
      <c r="K26" s="353">
        <v>0</v>
      </c>
      <c r="L26" s="374" t="str">
        <f>IF('из города'!$AG$9=3,"Дол.",IF('из города'!$AG$9=1,"Руб.","Грн."))</f>
        <v>Грн.</v>
      </c>
      <c r="M26" s="422">
        <f t="shared" si="0"/>
        <v>0</v>
      </c>
      <c r="N26" s="342" t="str">
        <f>IF('из города'!$AG$9=3,"Дол.",IF('из города'!$AG$9=1,"Руб.","Грн."))</f>
        <v>Грн.</v>
      </c>
    </row>
    <row r="27" spans="1:16" ht="20" customHeight="1">
      <c r="B27" s="893" t="s">
        <v>2114</v>
      </c>
      <c r="C27" s="894"/>
      <c r="D27" s="894"/>
      <c r="E27" s="894"/>
      <c r="F27" s="894"/>
      <c r="G27" s="894"/>
      <c r="H27" s="902"/>
      <c r="I27" s="353"/>
      <c r="J27" s="365" t="s">
        <v>23</v>
      </c>
      <c r="K27" s="353">
        <v>0</v>
      </c>
      <c r="L27" s="374" t="str">
        <f>IF('из города'!$AG$9=3,"Дол.",IF('из города'!$AG$9=1,"Руб.","Грн."))</f>
        <v>Грн.</v>
      </c>
      <c r="M27" s="422">
        <f t="shared" si="0"/>
        <v>0</v>
      </c>
      <c r="N27" s="342" t="str">
        <f>IF('из города'!$AG$9=3,"Дол.",IF('из города'!$AG$9=1,"Руб.","Грн."))</f>
        <v>Грн.</v>
      </c>
    </row>
    <row r="28" spans="1:16" ht="20" customHeight="1">
      <c r="B28" s="893" t="s">
        <v>2114</v>
      </c>
      <c r="C28" s="894"/>
      <c r="D28" s="894"/>
      <c r="E28" s="894"/>
      <c r="F28" s="894"/>
      <c r="G28" s="894"/>
      <c r="H28" s="902"/>
      <c r="I28" s="353">
        <v>0</v>
      </c>
      <c r="J28" s="365" t="s">
        <v>23</v>
      </c>
      <c r="K28" s="335">
        <v>0</v>
      </c>
      <c r="L28" s="374" t="str">
        <f>IF('из города'!$AG$9=3,"Дол.",IF('из города'!$AG$9=1,"Руб.","Грн."))</f>
        <v>Грн.</v>
      </c>
      <c r="M28" s="422">
        <f t="shared" si="0"/>
        <v>0</v>
      </c>
      <c r="N28" s="342" t="str">
        <f>IF('из города'!$AG$9=3,"Дол.",IF('из города'!$AG$9=1,"Руб.","Грн."))</f>
        <v>Грн.</v>
      </c>
    </row>
    <row r="29" spans="1:16" ht="20" customHeight="1">
      <c r="B29" s="884" t="s">
        <v>2675</v>
      </c>
      <c r="C29" s="885"/>
      <c r="D29" s="885"/>
      <c r="E29" s="885"/>
      <c r="F29" s="885"/>
      <c r="G29" s="885"/>
      <c r="H29" s="886"/>
      <c r="I29" s="359">
        <v>2</v>
      </c>
      <c r="J29" s="379" t="s">
        <v>2676</v>
      </c>
      <c r="K29" s="409">
        <v>7</v>
      </c>
      <c r="L29" s="374" t="str">
        <f>IF('из города'!$AG$9=3,"Дол.",IF('из города'!$AG$9=1,"Руб.","Грн."))</f>
        <v>Грн.</v>
      </c>
      <c r="M29" s="420">
        <f t="shared" si="0"/>
        <v>14</v>
      </c>
      <c r="N29" s="342" t="str">
        <f>IF('из города'!$AG$9=3,"Дол.",IF('из города'!$AG$9=1,"Руб.","Грн."))</f>
        <v>Грн.</v>
      </c>
    </row>
    <row r="30" spans="1:16" ht="20" customHeight="1">
      <c r="B30" s="884" t="s">
        <v>2664</v>
      </c>
      <c r="C30" s="885"/>
      <c r="D30" s="885"/>
      <c r="E30" s="885"/>
      <c r="F30" s="885"/>
      <c r="G30" s="885"/>
      <c r="H30" s="886"/>
      <c r="I30" s="359">
        <v>10</v>
      </c>
      <c r="J30" s="379" t="s">
        <v>2641</v>
      </c>
      <c r="K30" s="409">
        <v>2</v>
      </c>
      <c r="L30" s="374" t="str">
        <f>IF('из города'!$AG$9=3,"Дол.",IF('из города'!$AG$9=1,"Руб.","Грн."))</f>
        <v>Грн.</v>
      </c>
      <c r="M30" s="420">
        <f t="shared" si="0"/>
        <v>20</v>
      </c>
      <c r="N30" s="342" t="str">
        <f>IF('из города'!$AG$9=3,"Дол.",IF('из города'!$AG$9=1,"Руб.","Грн."))</f>
        <v>Грн.</v>
      </c>
    </row>
    <row r="31" spans="1:16" ht="20" customHeight="1">
      <c r="B31" s="884" t="s">
        <v>2653</v>
      </c>
      <c r="C31" s="885"/>
      <c r="D31" s="885"/>
      <c r="E31" s="885"/>
      <c r="F31" s="885"/>
      <c r="G31" s="885"/>
      <c r="H31" s="886"/>
      <c r="I31" s="359">
        <v>1</v>
      </c>
      <c r="J31" s="379" t="s">
        <v>2639</v>
      </c>
      <c r="K31" s="409">
        <v>20</v>
      </c>
      <c r="L31" s="374" t="str">
        <f>IF('из города'!$AG$9=3,"Дол.",IF('из города'!$AG$9=1,"Руб.","Грн."))</f>
        <v>Грн.</v>
      </c>
      <c r="M31" s="420">
        <f t="shared" si="0"/>
        <v>20</v>
      </c>
      <c r="N31" s="342" t="str">
        <f>IF('из города'!$AG$9=3,"Дол.",IF('из города'!$AG$9=1,"Руб.","Грн."))</f>
        <v>Грн.</v>
      </c>
    </row>
    <row r="32" spans="1:16" ht="20" customHeight="1">
      <c r="B32" s="884" t="s">
        <v>2652</v>
      </c>
      <c r="C32" s="885"/>
      <c r="D32" s="885"/>
      <c r="E32" s="885"/>
      <c r="F32" s="885"/>
      <c r="G32" s="885"/>
      <c r="H32" s="886"/>
      <c r="I32" s="359">
        <v>5</v>
      </c>
      <c r="J32" s="379" t="s">
        <v>2639</v>
      </c>
      <c r="K32" s="409">
        <v>2</v>
      </c>
      <c r="L32" s="374" t="str">
        <f>IF('из города'!$AG$9=3,"Дол.",IF('из города'!$AG$9=1,"Руб.","Грн."))</f>
        <v>Грн.</v>
      </c>
      <c r="M32" s="420">
        <f t="shared" si="0"/>
        <v>10</v>
      </c>
      <c r="N32" s="342" t="str">
        <f>IF('из города'!$AG$9=3,"Дол.",IF('из города'!$AG$9=1,"Руб.","Грн."))</f>
        <v>Грн.</v>
      </c>
    </row>
    <row r="33" spans="1:16" ht="20" customHeight="1">
      <c r="B33" s="884" t="s">
        <v>2674</v>
      </c>
      <c r="C33" s="885"/>
      <c r="D33" s="885"/>
      <c r="E33" s="885"/>
      <c r="F33" s="885"/>
      <c r="G33" s="885"/>
      <c r="H33" s="886"/>
      <c r="I33" s="359">
        <v>0</v>
      </c>
      <c r="J33" s="379" t="s">
        <v>2647</v>
      </c>
      <c r="K33" s="409">
        <v>70</v>
      </c>
      <c r="L33" s="374" t="str">
        <f>IF('из города'!$AG$9=3,"Дол.",IF('из города'!$AG$9=1,"Руб.","Грн."))</f>
        <v>Грн.</v>
      </c>
      <c r="M33" s="420">
        <f t="shared" si="0"/>
        <v>0</v>
      </c>
      <c r="N33" s="342" t="str">
        <f>IF('из города'!$AG$9=3,"Дол.",IF('из города'!$AG$9=1,"Руб.","Грн."))</f>
        <v>Грн.</v>
      </c>
    </row>
    <row r="34" spans="1:16" ht="20" customHeight="1">
      <c r="B34" s="896" t="s">
        <v>2660</v>
      </c>
      <c r="C34" s="897"/>
      <c r="D34" s="897"/>
      <c r="E34" s="897"/>
      <c r="F34" s="897"/>
      <c r="G34" s="897"/>
      <c r="H34" s="898"/>
      <c r="I34" s="359">
        <v>6</v>
      </c>
      <c r="J34" s="379" t="s">
        <v>2661</v>
      </c>
      <c r="K34" s="409">
        <v>15</v>
      </c>
      <c r="L34" s="376" t="str">
        <f>IF('из города'!$AG$9=3,"Дол.",IF('из города'!$AG$9=1,"Руб.","Грн."))</f>
        <v>Грн.</v>
      </c>
      <c r="M34" s="420">
        <f t="shared" si="0"/>
        <v>90</v>
      </c>
      <c r="N34" s="342" t="str">
        <f>IF('из города'!$AG$9=3,"Дол.",IF('из города'!$AG$9=1,"Руб.","Грн."))</f>
        <v>Грн.</v>
      </c>
    </row>
    <row r="35" spans="1:16" ht="20" customHeight="1">
      <c r="B35" s="899" t="s">
        <v>2658</v>
      </c>
      <c r="C35" s="900"/>
      <c r="D35" s="900"/>
      <c r="E35" s="900"/>
      <c r="F35" s="900"/>
      <c r="G35" s="900"/>
      <c r="H35" s="901"/>
      <c r="I35" s="359">
        <v>1</v>
      </c>
      <c r="J35" s="365" t="s">
        <v>2647</v>
      </c>
      <c r="K35" s="353">
        <v>0</v>
      </c>
      <c r="L35" s="374" t="str">
        <f>IF('из города'!$AG$9=3,"Дол.",IF('из города'!$AG$9=1,"Руб.","Грн."))</f>
        <v>Грн.</v>
      </c>
      <c r="M35" s="420">
        <f t="shared" si="0"/>
        <v>0</v>
      </c>
      <c r="N35" s="342" t="str">
        <f>IF('из города'!$AG$9=3,"Дол.",IF('из города'!$AG$9=1,"Руб.","Грн."))</f>
        <v>Грн.</v>
      </c>
    </row>
    <row r="36" spans="1:16" ht="20" customHeight="1">
      <c r="B36" s="899" t="s">
        <v>2658</v>
      </c>
      <c r="C36" s="900"/>
      <c r="D36" s="900"/>
      <c r="E36" s="900"/>
      <c r="F36" s="900"/>
      <c r="G36" s="900"/>
      <c r="H36" s="901"/>
      <c r="I36" s="359">
        <v>1</v>
      </c>
      <c r="J36" s="365" t="s">
        <v>2647</v>
      </c>
      <c r="K36" s="353">
        <v>0</v>
      </c>
      <c r="L36" s="374" t="str">
        <f>IF('из города'!$AG$9=3,"Дол.",IF('из города'!$AG$9=1,"Руб.","Грн."))</f>
        <v>Грн.</v>
      </c>
      <c r="M36" s="420">
        <f t="shared" si="0"/>
        <v>0</v>
      </c>
      <c r="N36" s="342" t="str">
        <f>IF('из города'!$AG$9=3,"Дол.",IF('из города'!$AG$9=1,"Руб.","Грн."))</f>
        <v>Грн.</v>
      </c>
    </row>
    <row r="37" spans="1:16" ht="20" customHeight="1">
      <c r="B37" s="899" t="s">
        <v>2658</v>
      </c>
      <c r="C37" s="900"/>
      <c r="D37" s="900"/>
      <c r="E37" s="900"/>
      <c r="F37" s="900"/>
      <c r="G37" s="900"/>
      <c r="H37" s="901"/>
      <c r="I37" s="359">
        <v>1</v>
      </c>
      <c r="J37" s="365" t="s">
        <v>2647</v>
      </c>
      <c r="K37" s="353">
        <v>0</v>
      </c>
      <c r="L37" s="374" t="str">
        <f>IF('из города'!$AG$9=3,"Дол.",IF('из города'!$AG$9=1,"Руб.","Грн."))</f>
        <v>Грн.</v>
      </c>
      <c r="M37" s="420">
        <f t="shared" si="0"/>
        <v>0</v>
      </c>
      <c r="N37" s="342" t="str">
        <f>IF('из города'!$AG$9=3,"Дол.",IF('из города'!$AG$9=1,"Руб.","Грн."))</f>
        <v>Грн.</v>
      </c>
    </row>
    <row r="38" spans="1:16" ht="20" customHeight="1">
      <c r="B38" s="653" t="s">
        <v>2658</v>
      </c>
      <c r="C38" s="654"/>
      <c r="D38" s="654"/>
      <c r="E38" s="654"/>
      <c r="F38" s="654"/>
      <c r="G38" s="654"/>
      <c r="H38" s="655"/>
      <c r="I38" s="338">
        <v>1</v>
      </c>
      <c r="J38" s="339" t="s">
        <v>2647</v>
      </c>
      <c r="K38" s="335">
        <v>0</v>
      </c>
      <c r="L38" s="375" t="str">
        <f>IF('из города'!$AG$9=3,"Дол.",IF('из города'!$AG$9=1,"Руб.","Грн."))</f>
        <v>Грн.</v>
      </c>
      <c r="M38" s="421">
        <f t="shared" si="0"/>
        <v>0</v>
      </c>
      <c r="N38" s="331" t="str">
        <f>IF('из города'!$AG$9=3,"Дол.",IF('из города'!$AG$9=1,"Руб.","Грн."))</f>
        <v>Грн.</v>
      </c>
    </row>
    <row r="39" spans="1:16" ht="20" customHeight="1">
      <c r="B39" s="653" t="s">
        <v>2658</v>
      </c>
      <c r="C39" s="654"/>
      <c r="D39" s="654"/>
      <c r="E39" s="654"/>
      <c r="F39" s="654"/>
      <c r="G39" s="654"/>
      <c r="H39" s="655"/>
      <c r="I39" s="338">
        <v>1</v>
      </c>
      <c r="J39" s="339" t="s">
        <v>2647</v>
      </c>
      <c r="K39" s="335">
        <v>0</v>
      </c>
      <c r="L39" s="375" t="str">
        <f>IF('из города'!$AG$9=3,"Дол.",IF('из города'!$AG$9=1,"Руб.","Грн."))</f>
        <v>Грн.</v>
      </c>
      <c r="M39" s="420">
        <f t="shared" si="0"/>
        <v>0</v>
      </c>
      <c r="N39" s="331" t="str">
        <f>IF('из города'!$AG$9=3,"Дол.",IF('из города'!$AG$9=1,"Руб.","Грн."))</f>
        <v>Грн.</v>
      </c>
    </row>
    <row r="40" spans="1:16" ht="20" customHeight="1" thickBot="1">
      <c r="A40" s="431" t="b">
        <v>0</v>
      </c>
      <c r="B40" s="917" t="s">
        <v>15</v>
      </c>
      <c r="C40" s="918" t="b">
        <v>1</v>
      </c>
      <c r="D40" s="918"/>
      <c r="E40" s="918"/>
      <c r="F40" s="918"/>
      <c r="G40" s="918"/>
      <c r="H40" s="918"/>
      <c r="I40" s="360">
        <f>M40/P40</f>
        <v>0</v>
      </c>
      <c r="J40" s="361" t="s">
        <v>17</v>
      </c>
      <c r="K40" s="361"/>
      <c r="L40" s="370">
        <f>Главная!P10</f>
        <v>0</v>
      </c>
      <c r="M40" s="360">
        <f>IF(A40=TRUE,SUM(M5:M39),0)</f>
        <v>0</v>
      </c>
      <c r="N40" s="364" t="str">
        <f>IF('из города'!$AG$9=3,"Дол.",IF('из города'!$AG$9=1,"Руб.","Грн."))</f>
        <v>Грн.</v>
      </c>
      <c r="P40" s="416">
        <f>Главная!O9</f>
        <v>26</v>
      </c>
    </row>
    <row r="41" spans="1:16" ht="20" customHeight="1" thickTop="1">
      <c r="B41" s="397"/>
      <c r="C41" s="397"/>
      <c r="D41" s="397"/>
      <c r="E41" s="397"/>
      <c r="F41" s="397"/>
      <c r="G41" s="397"/>
      <c r="H41" s="397"/>
      <c r="I41" s="397"/>
      <c r="J41" s="397"/>
      <c r="K41" s="397"/>
      <c r="L41" s="397"/>
      <c r="M41" s="397"/>
      <c r="N41" s="397"/>
    </row>
    <row r="42" spans="1:16" ht="20" customHeight="1" thickBot="1">
      <c r="B42" s="397"/>
      <c r="C42" s="397"/>
      <c r="D42" s="397"/>
      <c r="E42" s="397"/>
      <c r="F42" s="397"/>
      <c r="G42" s="397"/>
      <c r="H42" s="397"/>
      <c r="I42" s="397"/>
      <c r="J42" s="397"/>
      <c r="K42" s="397"/>
      <c r="L42" s="397"/>
      <c r="M42" s="397"/>
      <c r="N42" s="397"/>
    </row>
    <row r="43" spans="1:16" ht="14.5" customHeight="1" thickTop="1">
      <c r="B43" s="706" t="s">
        <v>2718</v>
      </c>
      <c r="C43" s="697"/>
      <c r="D43" s="697"/>
      <c r="E43" s="697"/>
      <c r="F43" s="697"/>
      <c r="G43" s="697"/>
      <c r="H43" s="697"/>
      <c r="I43" s="697"/>
      <c r="J43" s="697"/>
      <c r="K43" s="697"/>
      <c r="L43" s="697"/>
      <c r="M43" s="697"/>
      <c r="N43" s="697"/>
    </row>
    <row r="44" spans="1:16" ht="14.5" customHeight="1" thickBot="1">
      <c r="B44" s="849"/>
      <c r="C44" s="698"/>
      <c r="D44" s="698"/>
      <c r="E44" s="698"/>
      <c r="F44" s="698"/>
      <c r="G44" s="698"/>
      <c r="H44" s="698"/>
      <c r="I44" s="698"/>
      <c r="J44" s="698"/>
      <c r="K44" s="698"/>
      <c r="L44" s="698"/>
      <c r="M44" s="698"/>
      <c r="N44" s="698"/>
    </row>
    <row r="45" spans="1:16" ht="11.5" customHeight="1" thickTop="1">
      <c r="B45" s="504" t="s">
        <v>2737</v>
      </c>
      <c r="C45" s="712"/>
      <c r="D45" s="712"/>
      <c r="E45" s="712"/>
      <c r="F45" s="712"/>
      <c r="G45" s="712"/>
      <c r="H45" s="713"/>
      <c r="I45" s="477" t="s">
        <v>2738</v>
      </c>
      <c r="J45" s="479"/>
      <c r="K45" s="477" t="s">
        <v>2</v>
      </c>
      <c r="L45" s="479"/>
      <c r="M45" s="478" t="s">
        <v>2749</v>
      </c>
      <c r="N45" s="479"/>
    </row>
    <row r="46" spans="1:16" ht="11.5" customHeight="1">
      <c r="B46" s="714"/>
      <c r="C46" s="850"/>
      <c r="D46" s="850"/>
      <c r="E46" s="850"/>
      <c r="F46" s="850"/>
      <c r="G46" s="850"/>
      <c r="H46" s="716"/>
      <c r="I46" s="480"/>
      <c r="J46" s="482"/>
      <c r="K46" s="480"/>
      <c r="L46" s="482"/>
      <c r="M46" s="481"/>
      <c r="N46" s="482"/>
    </row>
    <row r="47" spans="1:16" ht="11.5" customHeight="1" thickBot="1">
      <c r="B47" s="717"/>
      <c r="C47" s="710"/>
      <c r="D47" s="710"/>
      <c r="E47" s="710"/>
      <c r="F47" s="710"/>
      <c r="G47" s="710"/>
      <c r="H47" s="711"/>
      <c r="I47" s="483"/>
      <c r="J47" s="485"/>
      <c r="K47" s="483"/>
      <c r="L47" s="485"/>
      <c r="M47" s="484"/>
      <c r="N47" s="485"/>
    </row>
    <row r="48" spans="1:16" ht="9" customHeight="1" thickTop="1">
      <c r="B48" s="730" t="s">
        <v>2793</v>
      </c>
      <c r="C48" s="731"/>
      <c r="D48" s="731"/>
      <c r="E48" s="731"/>
      <c r="F48" s="731"/>
      <c r="G48" s="731"/>
      <c r="H48" s="814"/>
      <c r="I48" s="746">
        <v>0</v>
      </c>
      <c r="J48" s="687" t="s">
        <v>2726</v>
      </c>
      <c r="K48" s="668">
        <v>150</v>
      </c>
      <c r="L48" s="930" t="str">
        <f>IF('из города'!$AG$9=3,"Дол.",IF('из города'!$AG$9=1,"Руб.","Грн."))</f>
        <v>Грн.</v>
      </c>
      <c r="M48" s="683">
        <f>I48*K48</f>
        <v>0</v>
      </c>
      <c r="N48" s="652" t="str">
        <f>IF('из города'!$AG$9=3,"Дол.",IF('из города'!$AG$9=1,"Руб.","Грн."))</f>
        <v>Грн.</v>
      </c>
    </row>
    <row r="49" spans="1:14" ht="9" customHeight="1">
      <c r="B49" s="645"/>
      <c r="C49" s="646"/>
      <c r="D49" s="646"/>
      <c r="E49" s="646"/>
      <c r="F49" s="646"/>
      <c r="G49" s="646"/>
      <c r="H49" s="647"/>
      <c r="I49" s="746"/>
      <c r="J49" s="687"/>
      <c r="K49" s="668"/>
      <c r="L49" s="930"/>
      <c r="M49" s="683"/>
      <c r="N49" s="652"/>
    </row>
    <row r="50" spans="1:14" ht="9" customHeight="1">
      <c r="B50" s="648"/>
      <c r="C50" s="649"/>
      <c r="D50" s="649"/>
      <c r="E50" s="649"/>
      <c r="F50" s="649"/>
      <c r="G50" s="649"/>
      <c r="H50" s="650"/>
      <c r="I50" s="660"/>
      <c r="J50" s="688"/>
      <c r="K50" s="689"/>
      <c r="L50" s="931"/>
      <c r="M50" s="685"/>
      <c r="N50" s="690"/>
    </row>
    <row r="51" spans="1:14" ht="10.5" customHeight="1">
      <c r="B51" s="921" t="s">
        <v>2794</v>
      </c>
      <c r="C51" s="922"/>
      <c r="D51" s="922"/>
      <c r="E51" s="922"/>
      <c r="F51" s="922"/>
      <c r="G51" s="922"/>
      <c r="H51" s="923"/>
      <c r="I51" s="746">
        <v>0</v>
      </c>
      <c r="J51" s="687" t="s">
        <v>2619</v>
      </c>
      <c r="K51" s="667">
        <v>100</v>
      </c>
      <c r="L51" s="932" t="str">
        <f>IF('из города'!$AG$9=3,"Дол.",IF('из города'!$AG$9=1,"Руб.","Грн."))</f>
        <v>Грн.</v>
      </c>
      <c r="M51" s="684">
        <f>I51*K51</f>
        <v>0</v>
      </c>
      <c r="N51" s="651" t="str">
        <f>IF('из города'!$AG$9=3,"Дол.",IF('из города'!$AG$9=1,"Руб.","Грн."))</f>
        <v>Грн.</v>
      </c>
    </row>
    <row r="52" spans="1:14" ht="10.5" customHeight="1">
      <c r="B52" s="924"/>
      <c r="C52" s="925"/>
      <c r="D52" s="925"/>
      <c r="E52" s="925"/>
      <c r="F52" s="925"/>
      <c r="G52" s="925"/>
      <c r="H52" s="926"/>
      <c r="I52" s="746"/>
      <c r="J52" s="687"/>
      <c r="K52" s="668"/>
      <c r="L52" s="930"/>
      <c r="M52" s="683"/>
      <c r="N52" s="652"/>
    </row>
    <row r="53" spans="1:14" ht="10.5" customHeight="1">
      <c r="B53" s="927"/>
      <c r="C53" s="928"/>
      <c r="D53" s="928"/>
      <c r="E53" s="928"/>
      <c r="F53" s="928"/>
      <c r="G53" s="928"/>
      <c r="H53" s="929"/>
      <c r="I53" s="660"/>
      <c r="J53" s="688"/>
      <c r="K53" s="689"/>
      <c r="L53" s="931"/>
      <c r="M53" s="685"/>
      <c r="N53" s="690"/>
    </row>
    <row r="54" spans="1:14" ht="10.5" customHeight="1">
      <c r="B54" s="642" t="s">
        <v>2795</v>
      </c>
      <c r="C54" s="718"/>
      <c r="D54" s="718"/>
      <c r="E54" s="718"/>
      <c r="F54" s="718"/>
      <c r="G54" s="718"/>
      <c r="H54" s="719"/>
      <c r="I54" s="659">
        <v>0</v>
      </c>
      <c r="J54" s="687" t="s">
        <v>2786</v>
      </c>
      <c r="K54" s="667">
        <v>22</v>
      </c>
      <c r="L54" s="932" t="s">
        <v>2796</v>
      </c>
      <c r="M54" s="684">
        <f>((M23+M24)/100)*K54</f>
        <v>0.44</v>
      </c>
      <c r="N54" s="651" t="str">
        <f>IF('из города'!$AG$9=3,"Дол.",IF('из города'!$AG$9=1,"Руб.","Грн."))</f>
        <v>Грн.</v>
      </c>
    </row>
    <row r="55" spans="1:14" ht="10.5" customHeight="1">
      <c r="B55" s="720"/>
      <c r="C55" s="721"/>
      <c r="D55" s="721"/>
      <c r="E55" s="721"/>
      <c r="F55" s="721"/>
      <c r="G55" s="721"/>
      <c r="H55" s="722"/>
      <c r="I55" s="851"/>
      <c r="J55" s="687"/>
      <c r="K55" s="668"/>
      <c r="L55" s="930"/>
      <c r="M55" s="683"/>
      <c r="N55" s="652"/>
    </row>
    <row r="56" spans="1:14" ht="10.5" customHeight="1">
      <c r="B56" s="723"/>
      <c r="C56" s="724"/>
      <c r="D56" s="724"/>
      <c r="E56" s="724"/>
      <c r="F56" s="724"/>
      <c r="G56" s="724"/>
      <c r="H56" s="725"/>
      <c r="I56" s="852"/>
      <c r="J56" s="688"/>
      <c r="K56" s="689"/>
      <c r="L56" s="931"/>
      <c r="M56" s="685"/>
      <c r="N56" s="690"/>
    </row>
    <row r="57" spans="1:14" ht="9" customHeight="1">
      <c r="B57" s="677" t="s">
        <v>2797</v>
      </c>
      <c r="C57" s="643"/>
      <c r="D57" s="643"/>
      <c r="E57" s="643"/>
      <c r="F57" s="643"/>
      <c r="G57" s="643"/>
      <c r="H57" s="644"/>
      <c r="I57" s="659">
        <v>0</v>
      </c>
      <c r="J57" s="687" t="s">
        <v>2786</v>
      </c>
      <c r="K57" s="667">
        <v>22</v>
      </c>
      <c r="L57" s="932" t="s">
        <v>2796</v>
      </c>
      <c r="M57" s="684">
        <f>((M16+M17+M18+M19+M20+M21+M22+M25)/100)*K57</f>
        <v>1.76</v>
      </c>
      <c r="N57" s="651" t="str">
        <f>IF('из города'!$AG$9=3,"Дол.",IF('из города'!$AG$9=1,"Руб.","Грн."))</f>
        <v>Грн.</v>
      </c>
    </row>
    <row r="58" spans="1:14" ht="9" customHeight="1">
      <c r="B58" s="645"/>
      <c r="C58" s="646"/>
      <c r="D58" s="646"/>
      <c r="E58" s="646"/>
      <c r="F58" s="646"/>
      <c r="G58" s="646"/>
      <c r="H58" s="647"/>
      <c r="I58" s="851"/>
      <c r="J58" s="687"/>
      <c r="K58" s="668"/>
      <c r="L58" s="930"/>
      <c r="M58" s="683"/>
      <c r="N58" s="652"/>
    </row>
    <row r="59" spans="1:14" ht="9" customHeight="1">
      <c r="B59" s="648"/>
      <c r="C59" s="649"/>
      <c r="D59" s="649"/>
      <c r="E59" s="649"/>
      <c r="F59" s="649"/>
      <c r="G59" s="649"/>
      <c r="H59" s="650"/>
      <c r="I59" s="852"/>
      <c r="J59" s="688"/>
      <c r="K59" s="689"/>
      <c r="L59" s="931"/>
      <c r="M59" s="685"/>
      <c r="N59" s="690"/>
    </row>
    <row r="60" spans="1:14" ht="9" customHeight="1">
      <c r="A60" s="431" t="b">
        <v>0</v>
      </c>
      <c r="B60" s="749" t="s">
        <v>2723</v>
      </c>
      <c r="C60" s="750"/>
      <c r="D60" s="750"/>
      <c r="E60" s="750"/>
      <c r="F60" s="750"/>
      <c r="G60" s="750"/>
      <c r="H60" s="259"/>
      <c r="I60" s="259"/>
      <c r="J60" s="260"/>
      <c r="K60" s="845">
        <f>M60/P40</f>
        <v>0</v>
      </c>
      <c r="L60" s="759" t="s">
        <v>17</v>
      </c>
      <c r="M60" s="845">
        <f>IF(A60=TRUE,M48+M51+M54+M57,0)</f>
        <v>0</v>
      </c>
      <c r="N60" s="679" t="str">
        <f>IF('из города'!$AG$9=3,"Дол.",IF('из города'!$AG$9=1,"Руб.","Грн."))</f>
        <v>Грн.</v>
      </c>
    </row>
    <row r="61" spans="1:14" ht="5" customHeight="1">
      <c r="B61" s="751"/>
      <c r="C61" s="752"/>
      <c r="D61" s="752"/>
      <c r="E61" s="752"/>
      <c r="F61" s="752"/>
      <c r="G61" s="752"/>
      <c r="H61" s="259"/>
      <c r="I61" s="259"/>
      <c r="J61" s="704"/>
      <c r="K61" s="747"/>
      <c r="L61" s="704"/>
      <c r="M61" s="747"/>
      <c r="N61" s="679"/>
    </row>
    <row r="62" spans="1:14" ht="5" customHeight="1">
      <c r="B62" s="751"/>
      <c r="C62" s="752"/>
      <c r="D62" s="752"/>
      <c r="E62" s="752"/>
      <c r="F62" s="752"/>
      <c r="G62" s="752"/>
      <c r="H62" s="259"/>
      <c r="I62" s="259"/>
      <c r="J62" s="704"/>
      <c r="K62" s="747"/>
      <c r="L62" s="704"/>
      <c r="M62" s="747"/>
      <c r="N62" s="679"/>
    </row>
    <row r="63" spans="1:14" ht="5" customHeight="1" thickBot="1">
      <c r="B63" s="753"/>
      <c r="C63" s="754"/>
      <c r="D63" s="754"/>
      <c r="E63" s="754"/>
      <c r="F63" s="754"/>
      <c r="G63" s="754"/>
      <c r="H63" s="261"/>
      <c r="I63" s="261"/>
      <c r="J63" s="705"/>
      <c r="K63" s="748"/>
      <c r="L63" s="705"/>
      <c r="M63" s="748"/>
      <c r="N63" s="763"/>
    </row>
    <row r="64" spans="1:14" ht="20" customHeight="1" thickTop="1">
      <c r="B64" s="371"/>
      <c r="C64" s="371"/>
      <c r="D64" s="371"/>
      <c r="E64" s="371"/>
      <c r="F64" s="371"/>
      <c r="G64" s="304"/>
      <c r="H64" s="304"/>
      <c r="I64" s="305"/>
      <c r="J64" s="300"/>
      <c r="K64" s="295"/>
      <c r="L64" s="306"/>
      <c r="M64" s="295"/>
    </row>
    <row r="65" spans="2:13" ht="20" customHeight="1">
      <c r="B65" s="371"/>
      <c r="C65" s="371"/>
      <c r="D65" s="371"/>
      <c r="E65" s="371"/>
      <c r="F65" s="371"/>
      <c r="G65" s="304"/>
      <c r="H65" s="304"/>
      <c r="I65" s="305"/>
      <c r="J65" s="300"/>
      <c r="K65" s="295"/>
      <c r="L65" s="306"/>
      <c r="M65" s="295"/>
    </row>
    <row r="66" spans="2:13" ht="20" customHeight="1">
      <c r="B66" s="371"/>
      <c r="C66" s="371"/>
      <c r="D66" s="371"/>
      <c r="E66" s="371"/>
      <c r="F66" s="371"/>
      <c r="G66" s="304"/>
      <c r="H66" s="304"/>
      <c r="I66" s="305"/>
      <c r="J66" s="300"/>
      <c r="K66" s="295"/>
      <c r="L66" s="306"/>
      <c r="M66" s="295"/>
    </row>
    <row r="67" spans="2:13" ht="20" customHeight="1">
      <c r="B67" s="371"/>
      <c r="C67" s="371"/>
      <c r="D67" s="371"/>
      <c r="E67" s="371"/>
      <c r="F67" s="371"/>
      <c r="G67" s="304"/>
      <c r="H67" s="304"/>
      <c r="I67" s="305"/>
      <c r="J67" s="300"/>
      <c r="K67" s="295"/>
      <c r="L67" s="306"/>
      <c r="M67" s="295"/>
    </row>
    <row r="68" spans="2:13" ht="20" customHeight="1">
      <c r="B68" s="371"/>
      <c r="C68" s="371"/>
      <c r="D68" s="371"/>
      <c r="E68" s="371"/>
      <c r="F68" s="371"/>
      <c r="G68" s="304"/>
      <c r="H68" s="304"/>
      <c r="I68" s="305"/>
      <c r="J68" s="300"/>
      <c r="K68" s="295"/>
      <c r="L68" s="306"/>
      <c r="M68" s="295"/>
    </row>
    <row r="69" spans="2:13" ht="20" customHeight="1">
      <c r="B69" s="371"/>
      <c r="C69" s="371"/>
      <c r="D69" s="371"/>
      <c r="E69" s="371"/>
      <c r="F69" s="371"/>
      <c r="G69" s="304"/>
      <c r="H69" s="304"/>
      <c r="I69" s="305"/>
      <c r="J69" s="300"/>
      <c r="K69" s="295"/>
      <c r="L69" s="306"/>
      <c r="M69" s="295"/>
    </row>
    <row r="70" spans="2:13" ht="20" customHeight="1">
      <c r="B70" s="371"/>
      <c r="C70" s="371"/>
      <c r="D70" s="371"/>
      <c r="E70" s="371"/>
      <c r="F70" s="371"/>
      <c r="G70" s="304"/>
      <c r="H70" s="304"/>
      <c r="I70" s="305"/>
      <c r="J70" s="300"/>
      <c r="K70" s="295"/>
      <c r="L70" s="306"/>
      <c r="M70" s="295"/>
    </row>
    <row r="71" spans="2:13" ht="20" customHeight="1">
      <c r="B71" s="371"/>
      <c r="C71" s="371"/>
      <c r="D71" s="371"/>
      <c r="E71" s="371"/>
      <c r="F71" s="371"/>
      <c r="G71" s="304"/>
      <c r="H71" s="304"/>
      <c r="I71" s="305"/>
      <c r="J71" s="300"/>
      <c r="K71" s="295"/>
      <c r="L71" s="306"/>
      <c r="M71" s="295"/>
    </row>
    <row r="72" spans="2:13" ht="20" customHeight="1">
      <c r="B72" s="290"/>
      <c r="C72" s="290"/>
      <c r="D72" s="290"/>
      <c r="E72" s="290"/>
      <c r="F72" s="290"/>
      <c r="G72" s="290"/>
      <c r="H72" s="290"/>
      <c r="I72" s="290"/>
      <c r="J72" s="290"/>
      <c r="K72" s="290"/>
      <c r="L72" s="290"/>
      <c r="M72" s="290"/>
    </row>
    <row r="73" spans="2:13" ht="20" customHeight="1">
      <c r="B73" s="290"/>
      <c r="C73" s="290"/>
      <c r="D73" s="290"/>
      <c r="E73" s="290"/>
      <c r="F73" s="290"/>
      <c r="G73" s="290"/>
      <c r="H73" s="290"/>
      <c r="I73" s="290"/>
      <c r="J73" s="290"/>
      <c r="K73" s="290"/>
      <c r="L73" s="290"/>
      <c r="M73" s="290"/>
    </row>
    <row r="74" spans="2:13" ht="20" customHeight="1">
      <c r="B74" s="311"/>
      <c r="C74" s="311"/>
      <c r="D74" s="311"/>
      <c r="E74" s="311"/>
      <c r="F74" s="311"/>
      <c r="G74" s="299"/>
      <c r="H74" s="299"/>
      <c r="I74" s="295"/>
      <c r="J74" s="295"/>
      <c r="K74" s="295"/>
      <c r="L74" s="316"/>
      <c r="M74" s="290"/>
    </row>
    <row r="75" spans="2:13" ht="20" customHeight="1">
      <c r="B75" s="311"/>
      <c r="C75" s="311"/>
      <c r="D75" s="311"/>
      <c r="E75" s="311"/>
      <c r="F75" s="311"/>
      <c r="G75" s="299"/>
      <c r="H75" s="299"/>
      <c r="I75" s="295"/>
      <c r="J75" s="295"/>
      <c r="K75" s="295"/>
      <c r="L75" s="316"/>
      <c r="M75" s="290"/>
    </row>
    <row r="76" spans="2:13" ht="20" customHeight="1">
      <c r="B76" s="311"/>
      <c r="C76" s="311"/>
      <c r="D76" s="311"/>
      <c r="E76" s="311"/>
      <c r="F76" s="311"/>
      <c r="G76" s="299"/>
      <c r="H76" s="299"/>
      <c r="I76" s="295"/>
      <c r="J76" s="295"/>
      <c r="K76" s="295"/>
      <c r="L76" s="316"/>
      <c r="M76" s="290"/>
    </row>
    <row r="77" spans="2:13" ht="20" customHeight="1">
      <c r="B77" s="290"/>
      <c r="C77" s="290"/>
      <c r="D77" s="290"/>
      <c r="E77" s="290"/>
      <c r="F77" s="290"/>
      <c r="G77" s="307"/>
      <c r="H77" s="307"/>
      <c r="I77" s="307"/>
      <c r="J77" s="312"/>
      <c r="K77" s="306"/>
      <c r="L77" s="316"/>
      <c r="M77" s="290"/>
    </row>
    <row r="78" spans="2:13" ht="20" customHeight="1">
      <c r="B78" s="290"/>
      <c r="C78" s="290"/>
      <c r="D78" s="290"/>
      <c r="E78" s="290"/>
      <c r="F78" s="290"/>
      <c r="G78" s="307"/>
      <c r="H78" s="307"/>
      <c r="I78" s="307"/>
      <c r="J78" s="307"/>
      <c r="K78" s="306"/>
      <c r="L78" s="316"/>
      <c r="M78" s="290"/>
    </row>
    <row r="79" spans="2:13" ht="6.5" customHeight="1">
      <c r="B79" s="290"/>
      <c r="C79" s="290"/>
      <c r="D79" s="290"/>
      <c r="E79" s="290"/>
      <c r="F79" s="290"/>
      <c r="G79" s="307"/>
      <c r="H79" s="307"/>
      <c r="I79" s="307"/>
      <c r="J79" s="307"/>
      <c r="K79" s="306"/>
      <c r="L79" s="316"/>
      <c r="M79" s="290"/>
    </row>
  </sheetData>
  <sheetProtection password="C665" sheet="1" selectLockedCells="1"/>
  <mergeCells count="81">
    <mergeCell ref="M57:M59"/>
    <mergeCell ref="N57:N59"/>
    <mergeCell ref="B54:H56"/>
    <mergeCell ref="I54:I56"/>
    <mergeCell ref="B60:G63"/>
    <mergeCell ref="K60:K63"/>
    <mergeCell ref="L60:L63"/>
    <mergeCell ref="M60:M63"/>
    <mergeCell ref="N60:N63"/>
    <mergeCell ref="J61:J63"/>
    <mergeCell ref="B57:H59"/>
    <mergeCell ref="I57:I59"/>
    <mergeCell ref="J57:J59"/>
    <mergeCell ref="K57:K59"/>
    <mergeCell ref="L57:L59"/>
    <mergeCell ref="J54:J56"/>
    <mergeCell ref="K54:K56"/>
    <mergeCell ref="L54:L56"/>
    <mergeCell ref="M54:M56"/>
    <mergeCell ref="N48:N50"/>
    <mergeCell ref="J51:J53"/>
    <mergeCell ref="K51:K53"/>
    <mergeCell ref="L51:L53"/>
    <mergeCell ref="N54:N56"/>
    <mergeCell ref="M51:M53"/>
    <mergeCell ref="N51:N53"/>
    <mergeCell ref="M48:M50"/>
    <mergeCell ref="B51:H53"/>
    <mergeCell ref="I51:I53"/>
    <mergeCell ref="B38:H38"/>
    <mergeCell ref="B39:H39"/>
    <mergeCell ref="B40:H40"/>
    <mergeCell ref="B43:N44"/>
    <mergeCell ref="B45:H47"/>
    <mergeCell ref="I45:J47"/>
    <mergeCell ref="K45:L47"/>
    <mergeCell ref="M45:N47"/>
    <mergeCell ref="B48:H50"/>
    <mergeCell ref="I48:I50"/>
    <mergeCell ref="J48:J50"/>
    <mergeCell ref="K48:K50"/>
    <mergeCell ref="L48:L50"/>
    <mergeCell ref="B33:H33"/>
    <mergeCell ref="B34:H34"/>
    <mergeCell ref="B35:H35"/>
    <mergeCell ref="B36:H36"/>
    <mergeCell ref="B37:H37"/>
    <mergeCell ref="B28:H28"/>
    <mergeCell ref="B29:H29"/>
    <mergeCell ref="B30:H30"/>
    <mergeCell ref="B31:H31"/>
    <mergeCell ref="B32:H32"/>
    <mergeCell ref="B23:H23"/>
    <mergeCell ref="B24:H24"/>
    <mergeCell ref="B25:H25"/>
    <mergeCell ref="B26:H26"/>
    <mergeCell ref="B27:H27"/>
    <mergeCell ref="B19:H19"/>
    <mergeCell ref="B20:H20"/>
    <mergeCell ref="B15:H15"/>
    <mergeCell ref="B21:H21"/>
    <mergeCell ref="B22:H22"/>
    <mergeCell ref="B13:H13"/>
    <mergeCell ref="B14:H14"/>
    <mergeCell ref="B16:H16"/>
    <mergeCell ref="B17:H17"/>
    <mergeCell ref="B18:H18"/>
    <mergeCell ref="B8:H8"/>
    <mergeCell ref="B9:H9"/>
    <mergeCell ref="B10:H10"/>
    <mergeCell ref="B11:H11"/>
    <mergeCell ref="B12:H12"/>
    <mergeCell ref="B5:H5"/>
    <mergeCell ref="B6:H6"/>
    <mergeCell ref="B7:H7"/>
    <mergeCell ref="K1:L1"/>
    <mergeCell ref="B2:N3"/>
    <mergeCell ref="B4:H4"/>
    <mergeCell ref="I4:J4"/>
    <mergeCell ref="K4:L4"/>
    <mergeCell ref="M4:N4"/>
  </mergeCells>
  <hyperlinks>
    <hyperlink ref="E1" location="Купол!A1" display="Купол"/>
    <hyperlink ref="F1" location="козырёк!A1" display="Козырьки"/>
    <hyperlink ref="H1" location="'Стены 1'!A1" display="Стены 1"/>
    <hyperlink ref="I1" location="Перекрытие2!A1" display="Перекрытие 2"/>
    <hyperlink ref="J1" location="Стены2!A1" display="Стены 2"/>
    <hyperlink ref="K1" location="Башня!A1" display="Обзорная башня"/>
    <hyperlink ref="N1" location="Доставка!A1" display="Окна"/>
    <hyperlink ref="D1" location="'Смета фунд.'!A1" display="Смета фундамента"/>
    <hyperlink ref="M1" location="Окна!A1" display="Окна"/>
    <hyperlink ref="B1" location="Главная!A1" display="Главная"/>
    <hyperlink ref="G1" location="'Перекрытия 1'!A1" display="Перекр.1"/>
    <hyperlink ref="C1" location="'Район фунд.'!A1" display="Район фундамента"/>
  </hyperlinks>
  <pageMargins left="0.7" right="0.7" top="0.75" bottom="0.75" header="0.3" footer="0.3"/>
  <pageSetup paperSize="9" orientation="portrait" verticalDpi="30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3"/>
  <dimension ref="B1:AJ73"/>
  <sheetViews>
    <sheetView showGridLines="0" showRowColHeaders="0" zoomScale="85" zoomScaleNormal="85" workbookViewId="0">
      <pane ySplit="1" topLeftCell="A2" activePane="bottomLeft" state="frozen"/>
      <selection pane="bottomLeft" activeCell="C1" sqref="C1:E1"/>
    </sheetView>
  </sheetViews>
  <sheetFormatPr defaultColWidth="9.1796875" defaultRowHeight="12.5"/>
  <cols>
    <col min="1" max="1" width="5" style="126" customWidth="1"/>
    <col min="2" max="2" width="2.26953125" style="126" customWidth="1"/>
    <col min="3" max="11" width="9.1796875" style="126"/>
    <col min="12" max="12" width="8.7265625" style="126" customWidth="1"/>
    <col min="13" max="14" width="9.1796875" style="126"/>
    <col min="15" max="15" width="10.26953125" style="126" bestFit="1" customWidth="1"/>
    <col min="16" max="16" width="6.54296875" style="126" customWidth="1"/>
    <col min="17" max="17" width="10.54296875" style="126" customWidth="1"/>
    <col min="18" max="18" width="13.453125" style="126" customWidth="1"/>
    <col min="19" max="22" width="9.1796875" style="126"/>
    <col min="23" max="23" width="10.26953125" style="126" bestFit="1" customWidth="1"/>
    <col min="24" max="16384" width="9.1796875" style="126"/>
  </cols>
  <sheetData>
    <row r="1" spans="2:36" ht="29" customHeight="1" thickTop="1" thickBot="1">
      <c r="C1" s="965" t="s">
        <v>2612</v>
      </c>
      <c r="D1" s="965"/>
      <c r="E1" s="966"/>
      <c r="F1" s="204" t="s">
        <v>2682</v>
      </c>
      <c r="G1" s="277" t="s">
        <v>2662</v>
      </c>
      <c r="H1" s="204" t="s">
        <v>2603</v>
      </c>
      <c r="I1" s="432" t="s">
        <v>2604</v>
      </c>
      <c r="J1" s="432" t="s">
        <v>2613</v>
      </c>
      <c r="K1" s="204" t="s">
        <v>2607</v>
      </c>
      <c r="L1" s="432" t="s">
        <v>2614</v>
      </c>
      <c r="M1" s="432" t="s">
        <v>2608</v>
      </c>
      <c r="N1" s="519" t="s">
        <v>2605</v>
      </c>
      <c r="O1" s="520"/>
      <c r="P1" s="519" t="s">
        <v>2606</v>
      </c>
      <c r="Q1" s="520"/>
      <c r="R1" s="432" t="s">
        <v>2634</v>
      </c>
      <c r="AF1" s="127"/>
      <c r="AG1" s="127"/>
      <c r="AH1" s="960" t="s">
        <v>2146</v>
      </c>
      <c r="AI1" s="960"/>
      <c r="AJ1" s="127">
        <f>INDEX(стоимость_шесть2,S7)</f>
        <v>0</v>
      </c>
    </row>
    <row r="2" spans="2:36" ht="5.25" customHeight="1" thickTop="1">
      <c r="F2" s="128"/>
      <c r="S2" s="127"/>
      <c r="T2" s="127"/>
      <c r="U2" s="960" t="s">
        <v>2147</v>
      </c>
      <c r="V2" s="960"/>
      <c r="W2" s="129">
        <f>INDEX(стоимость_2,S7)</f>
        <v>0</v>
      </c>
    </row>
    <row r="3" spans="2:36" ht="5.25" customHeight="1">
      <c r="P3" s="160"/>
      <c r="Q3" s="160"/>
      <c r="R3" s="160"/>
      <c r="S3" s="127"/>
      <c r="T3" s="127"/>
      <c r="U3" s="960" t="s">
        <v>2148</v>
      </c>
      <c r="V3" s="960"/>
      <c r="W3" s="129">
        <f>INDEX(стоимость_два2,S7)</f>
        <v>0</v>
      </c>
    </row>
    <row r="4" spans="2:36" ht="5.25" customHeight="1"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1"/>
      <c r="N4" s="160"/>
      <c r="O4" s="160"/>
      <c r="P4" s="160"/>
      <c r="Q4" s="160"/>
      <c r="R4" s="160"/>
      <c r="S4" s="130">
        <v>6</v>
      </c>
      <c r="T4" s="127"/>
      <c r="U4" s="960" t="s">
        <v>2149</v>
      </c>
      <c r="V4" s="960"/>
      <c r="W4" s="127" t="e">
        <f>INDEX(стоимость_три,S7)</f>
        <v>#REF!</v>
      </c>
    </row>
    <row r="5" spans="2:36" ht="5.25" customHeight="1"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27"/>
      <c r="T5" s="127"/>
      <c r="U5" s="127"/>
      <c r="V5" s="127"/>
      <c r="W5" s="127"/>
    </row>
    <row r="6" spans="2:36" ht="5.25" customHeight="1"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27"/>
      <c r="T6" s="127"/>
      <c r="U6" s="127"/>
      <c r="V6" s="127"/>
      <c r="W6" s="127"/>
    </row>
    <row r="7" spans="2:36" ht="5.25" customHeight="1"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30">
        <v>236</v>
      </c>
      <c r="T7" s="127"/>
      <c r="U7" s="127"/>
      <c r="V7" s="127"/>
      <c r="W7" s="127"/>
    </row>
    <row r="8" spans="2:36" ht="12.75" customHeight="1">
      <c r="C8" s="963" t="str">
        <f>IF(R17="Дол.","Калькулятор стоимости услуг перевозки, комплекта узловых соединений СОКОЛ, межконтинентальной баллистической ракетой - ТОПОЛЬ",IF(Главная!P9="Руб.","Калькулятор стоимости услуг перевозки, комплекта узловых соединений СОКОЛ, транспортной компанией РАТЕК","Калькулятор стоимости услуг перевозки, комплекта узловых соединений СОКОЛ, транспортной компанией ИнТайм"))</f>
        <v>Калькулятор стоимости услуг перевозки, комплекта узловых соединений СОКОЛ, транспортной компанией ИнТайм</v>
      </c>
      <c r="D8" s="963"/>
      <c r="E8" s="963"/>
      <c r="F8" s="963"/>
      <c r="G8" s="963"/>
      <c r="H8" s="963"/>
      <c r="I8" s="963"/>
      <c r="J8" s="963"/>
      <c r="K8" s="963"/>
      <c r="L8" s="963"/>
      <c r="M8" s="963"/>
      <c r="N8" s="963"/>
      <c r="O8" s="963"/>
      <c r="P8" s="963"/>
      <c r="Q8" s="963"/>
      <c r="R8" s="963"/>
      <c r="S8" s="127"/>
      <c r="T8" s="127"/>
      <c r="U8" s="127"/>
      <c r="V8" s="127"/>
    </row>
    <row r="9" spans="2:36" ht="12.75" customHeight="1">
      <c r="C9" s="963"/>
      <c r="D9" s="963"/>
      <c r="E9" s="963"/>
      <c r="F9" s="963"/>
      <c r="G9" s="963"/>
      <c r="H9" s="963"/>
      <c r="I9" s="963"/>
      <c r="J9" s="963"/>
      <c r="K9" s="963"/>
      <c r="L9" s="963"/>
      <c r="M9" s="963"/>
      <c r="N9" s="963"/>
      <c r="O9" s="963"/>
      <c r="P9" s="963"/>
      <c r="Q9" s="963"/>
      <c r="R9" s="963"/>
      <c r="S9" s="127"/>
      <c r="T9" s="127"/>
      <c r="U9" s="127"/>
      <c r="V9" s="127"/>
    </row>
    <row r="10" spans="2:36" ht="12.75" customHeight="1">
      <c r="C10" s="963"/>
      <c r="D10" s="963"/>
      <c r="E10" s="963"/>
      <c r="F10" s="963"/>
      <c r="G10" s="963"/>
      <c r="H10" s="963"/>
      <c r="I10" s="963"/>
      <c r="J10" s="963"/>
      <c r="K10" s="963"/>
      <c r="L10" s="963"/>
      <c r="M10" s="963"/>
      <c r="N10" s="963"/>
      <c r="O10" s="963"/>
      <c r="P10" s="963"/>
      <c r="Q10" s="963"/>
      <c r="R10" s="963"/>
      <c r="S10" s="127"/>
      <c r="T10" s="127"/>
      <c r="U10" s="127"/>
      <c r="V10" s="127"/>
    </row>
    <row r="11" spans="2:36" ht="25.5" customHeight="1">
      <c r="C11" s="964"/>
      <c r="D11" s="964"/>
      <c r="E11" s="964"/>
      <c r="F11" s="964"/>
      <c r="G11" s="964"/>
      <c r="H11" s="964"/>
      <c r="I11" s="964"/>
      <c r="J11" s="964"/>
      <c r="K11" s="964"/>
      <c r="L11" s="964"/>
      <c r="M11" s="964"/>
      <c r="N11" s="964"/>
      <c r="O11" s="964"/>
      <c r="P11" s="964"/>
      <c r="Q11" s="964"/>
      <c r="R11" s="964"/>
      <c r="S11" s="127"/>
      <c r="T11" s="127"/>
      <c r="U11" s="127"/>
      <c r="V11" s="127"/>
    </row>
    <row r="12" spans="2:36" ht="12.75" customHeight="1">
      <c r="B12" s="131"/>
      <c r="C12" s="951" t="s">
        <v>2873</v>
      </c>
      <c r="D12" s="952"/>
      <c r="E12" s="952"/>
      <c r="F12" s="952"/>
      <c r="G12" s="952"/>
      <c r="H12" s="952"/>
      <c r="I12" s="952"/>
      <c r="J12" s="952"/>
      <c r="K12" s="952"/>
      <c r="L12" s="953"/>
      <c r="M12" s="952" t="s">
        <v>2150</v>
      </c>
      <c r="N12" s="952"/>
      <c r="O12" s="952"/>
      <c r="P12" s="953"/>
      <c r="Q12" s="947" t="s">
        <v>2151</v>
      </c>
      <c r="R12" s="948"/>
    </row>
    <row r="13" spans="2:36" ht="12.75" customHeight="1">
      <c r="B13" s="131"/>
      <c r="C13" s="954"/>
      <c r="D13" s="955"/>
      <c r="E13" s="955"/>
      <c r="F13" s="955"/>
      <c r="G13" s="955"/>
      <c r="H13" s="955"/>
      <c r="I13" s="955"/>
      <c r="J13" s="955"/>
      <c r="K13" s="955"/>
      <c r="L13" s="956"/>
      <c r="M13" s="955"/>
      <c r="N13" s="955"/>
      <c r="O13" s="955"/>
      <c r="P13" s="956"/>
      <c r="Q13" s="947"/>
      <c r="R13" s="948"/>
    </row>
    <row r="14" spans="2:36" ht="12.75" customHeight="1">
      <c r="B14" s="131"/>
      <c r="C14" s="957"/>
      <c r="D14" s="958"/>
      <c r="E14" s="958"/>
      <c r="F14" s="958"/>
      <c r="G14" s="958"/>
      <c r="H14" s="958"/>
      <c r="I14" s="958"/>
      <c r="J14" s="958"/>
      <c r="K14" s="958"/>
      <c r="L14" s="959"/>
      <c r="M14" s="958"/>
      <c r="N14" s="958"/>
      <c r="O14" s="958"/>
      <c r="P14" s="959"/>
      <c r="Q14" s="947"/>
      <c r="R14" s="948"/>
    </row>
    <row r="15" spans="2:36">
      <c r="B15" s="128"/>
      <c r="C15" s="440"/>
      <c r="D15" s="441"/>
      <c r="E15" s="441"/>
      <c r="F15" s="441"/>
      <c r="G15" s="441"/>
      <c r="H15" s="441"/>
      <c r="I15" s="441"/>
      <c r="J15" s="441"/>
      <c r="K15" s="441"/>
      <c r="L15" s="442"/>
      <c r="M15" s="443"/>
      <c r="N15" s="443"/>
      <c r="O15" s="443"/>
      <c r="P15" s="444"/>
      <c r="Q15" s="443"/>
      <c r="R15" s="444"/>
    </row>
    <row r="16" spans="2:36" ht="17.5">
      <c r="B16" s="128"/>
      <c r="C16" s="445"/>
      <c r="D16" s="446"/>
      <c r="E16" s="446"/>
      <c r="F16" s="446"/>
      <c r="G16" s="446"/>
      <c r="H16" s="446"/>
      <c r="I16" s="446"/>
      <c r="J16" s="446"/>
      <c r="K16" s="446"/>
      <c r="L16" s="447"/>
      <c r="M16" s="934" t="s">
        <v>2152</v>
      </c>
      <c r="N16" s="934"/>
      <c r="O16" s="934"/>
      <c r="P16" s="939"/>
      <c r="Q16" s="448"/>
      <c r="R16" s="449"/>
    </row>
    <row r="17" spans="2:26" ht="12.75" customHeight="1">
      <c r="B17" s="128"/>
      <c r="C17" s="940" t="s">
        <v>2153</v>
      </c>
      <c r="D17" s="941"/>
      <c r="E17" s="941"/>
      <c r="F17" s="941"/>
      <c r="G17" s="941"/>
      <c r="H17" s="941"/>
      <c r="I17" s="941" t="str">
        <f>INDEX(города2,S7)</f>
        <v>Полтава</v>
      </c>
      <c r="J17" s="941"/>
      <c r="K17" s="941"/>
      <c r="L17" s="967"/>
      <c r="M17" s="961" t="str">
        <f>INDEX(комплекты,S4)</f>
        <v>для 3 частоты 5/12 части</v>
      </c>
      <c r="N17" s="961"/>
      <c r="O17" s="961"/>
      <c r="P17" s="936"/>
      <c r="Q17" s="962">
        <f>IF(R17="дол.",0,IF(Главная!P9="Руб.",IF(Q19&gt;200,(IF(Q19&gt;500,Q19*AJ1,IF(Q19&gt;200&lt;500,Q19*W2,IF(Q19&lt;200&gt;100,W3*Q19,IF(Q19&lt;100,Q19*W4,Q19*W3)))))+330,IF(Q19&gt;500,Q19*AJ1,IF(Q19&gt;200&lt;500,Q19*W2,IF(Q19&lt;200&gt;100,W3*Q19,IF(Q19&lt;100,Q19*W4,Q19*W3))))),IF(Q19&gt;200,(IF(Q19&gt;500,Q19*AJ1,IF(Q19&gt;200&lt;500,Q19*W2,IF(Q19&lt;200&gt;100,W3*Q19,IF(Q19&lt;100,Q19*W4,Q19*W3)))))+70,IF(Q19&gt;500,Q19*AJ1,IF(Q19&gt;200&lt;500,Q19*W2,IF(Q19&lt;200&gt;100,W3*Q19,IF(Q19&lt;100,Q19*W4,Q19*W3)))))))</f>
        <v>70</v>
      </c>
      <c r="R17" s="938" t="str">
        <f>Главная!P9</f>
        <v>Гривен.</v>
      </c>
    </row>
    <row r="18" spans="2:26" ht="12.75" customHeight="1">
      <c r="B18" s="128"/>
      <c r="C18" s="940"/>
      <c r="D18" s="941"/>
      <c r="E18" s="941"/>
      <c r="F18" s="941"/>
      <c r="G18" s="941"/>
      <c r="H18" s="941"/>
      <c r="I18" s="941"/>
      <c r="J18" s="941"/>
      <c r="K18" s="941"/>
      <c r="L18" s="967"/>
      <c r="M18" s="961"/>
      <c r="N18" s="961"/>
      <c r="O18" s="961"/>
      <c r="P18" s="936"/>
      <c r="Q18" s="962"/>
      <c r="R18" s="939"/>
    </row>
    <row r="19" spans="2:26" ht="12.75" customHeight="1">
      <c r="C19" s="450"/>
      <c r="D19" s="448"/>
      <c r="E19" s="448"/>
      <c r="F19" s="448"/>
      <c r="G19" s="448"/>
      <c r="H19" s="448"/>
      <c r="I19" s="448"/>
      <c r="J19" s="448"/>
      <c r="K19" s="448"/>
      <c r="L19" s="449"/>
      <c r="M19" s="934" t="s">
        <v>2154</v>
      </c>
      <c r="N19" s="934"/>
      <c r="O19" s="934"/>
      <c r="P19" s="936">
        <f>INDEX(количество,S4)</f>
        <v>46</v>
      </c>
      <c r="Q19" s="943">
        <f>INDEX(кг,S4)</f>
        <v>209.69999999999996</v>
      </c>
      <c r="R19" s="949" t="s">
        <v>2155</v>
      </c>
    </row>
    <row r="20" spans="2:26" ht="12.75" customHeight="1">
      <c r="C20" s="451"/>
      <c r="D20" s="452"/>
      <c r="E20" s="452"/>
      <c r="F20" s="452"/>
      <c r="G20" s="452"/>
      <c r="H20" s="452"/>
      <c r="I20" s="452"/>
      <c r="J20" s="452"/>
      <c r="K20" s="452"/>
      <c r="L20" s="453"/>
      <c r="M20" s="935"/>
      <c r="N20" s="935"/>
      <c r="O20" s="935"/>
      <c r="P20" s="937"/>
      <c r="Q20" s="944"/>
      <c r="R20" s="950"/>
    </row>
    <row r="21" spans="2:26">
      <c r="C21" s="165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3"/>
    </row>
    <row r="22" spans="2:26">
      <c r="C22" s="135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34"/>
    </row>
    <row r="23" spans="2:26">
      <c r="C23" s="135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34"/>
    </row>
    <row r="24" spans="2:26">
      <c r="C24" s="135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34"/>
    </row>
    <row r="25" spans="2:26">
      <c r="C25" s="135"/>
      <c r="D25" s="128"/>
      <c r="E25" s="128"/>
      <c r="F25" s="128"/>
      <c r="G25" s="128"/>
      <c r="H25" s="128"/>
      <c r="I25" s="128"/>
      <c r="J25" s="128"/>
      <c r="K25" s="945">
        <f>Q19</f>
        <v>209.69999999999996</v>
      </c>
      <c r="L25" s="946">
        <f>INDEX(ящики,S4)</f>
        <v>9</v>
      </c>
      <c r="M25" s="128"/>
      <c r="N25" s="128"/>
      <c r="O25" s="128"/>
      <c r="P25" s="128"/>
      <c r="Q25" s="128"/>
      <c r="R25" s="134"/>
    </row>
    <row r="26" spans="2:26">
      <c r="C26" s="135"/>
      <c r="D26" s="128"/>
      <c r="E26" s="128"/>
      <c r="F26" s="128"/>
      <c r="G26" s="128"/>
      <c r="H26" s="128"/>
      <c r="I26" s="128"/>
      <c r="J26" s="128"/>
      <c r="K26" s="946"/>
      <c r="L26" s="946"/>
      <c r="M26" s="128"/>
      <c r="N26" s="128"/>
      <c r="O26" s="128"/>
      <c r="P26" s="128"/>
      <c r="Q26" s="128"/>
      <c r="R26" s="134"/>
    </row>
    <row r="27" spans="2:26">
      <c r="C27" s="135"/>
      <c r="D27" s="128"/>
      <c r="E27" s="128"/>
      <c r="F27" s="128"/>
      <c r="G27" s="128"/>
      <c r="H27" s="128"/>
      <c r="I27" s="128"/>
      <c r="J27" s="128"/>
      <c r="K27" s="946"/>
      <c r="L27" s="946"/>
      <c r="M27" s="128"/>
      <c r="N27" s="128"/>
      <c r="O27" s="128"/>
      <c r="P27" s="128"/>
      <c r="Q27" s="128"/>
      <c r="R27" s="134"/>
    </row>
    <row r="28" spans="2:26">
      <c r="C28" s="135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34"/>
    </row>
    <row r="29" spans="2:26">
      <c r="C29" s="135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34"/>
    </row>
    <row r="30" spans="2:26">
      <c r="C30" s="135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34"/>
    </row>
    <row r="31" spans="2:26">
      <c r="C31" s="135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34"/>
    </row>
    <row r="32" spans="2:26">
      <c r="C32" s="135"/>
      <c r="D32" s="128"/>
      <c r="E32" s="128"/>
      <c r="F32" s="128"/>
      <c r="G32" s="128"/>
      <c r="H32" s="128"/>
      <c r="I32" s="166"/>
      <c r="J32" s="166"/>
      <c r="K32" s="166"/>
      <c r="L32" s="166"/>
      <c r="M32" s="166"/>
      <c r="N32" s="166"/>
      <c r="O32" s="166"/>
      <c r="P32" s="166"/>
      <c r="Q32" s="166"/>
      <c r="R32" s="167"/>
      <c r="S32" s="164"/>
      <c r="T32" s="164"/>
      <c r="U32" s="164"/>
      <c r="V32" s="164"/>
      <c r="W32" s="164"/>
      <c r="X32" s="164"/>
      <c r="Y32" s="164"/>
      <c r="Z32" s="164"/>
    </row>
    <row r="33" spans="3:26">
      <c r="C33" s="135"/>
      <c r="D33" s="128"/>
      <c r="E33" s="128"/>
      <c r="F33" s="128"/>
      <c r="G33" s="128"/>
      <c r="H33" s="128"/>
      <c r="I33" s="166"/>
      <c r="J33" s="166"/>
      <c r="K33" s="166"/>
      <c r="L33" s="166"/>
      <c r="M33" s="166"/>
      <c r="N33" s="166"/>
      <c r="O33" s="166"/>
      <c r="P33" s="166"/>
      <c r="Q33" s="166"/>
      <c r="R33" s="167"/>
      <c r="S33" s="164"/>
      <c r="T33" s="164"/>
      <c r="U33" s="164"/>
      <c r="V33" s="164"/>
      <c r="W33" s="164"/>
      <c r="X33" s="164"/>
      <c r="Y33" s="164"/>
      <c r="Z33" s="164"/>
    </row>
    <row r="34" spans="3:26">
      <c r="C34" s="135"/>
      <c r="D34" s="128"/>
      <c r="E34" s="128"/>
      <c r="F34" s="128"/>
      <c r="G34" s="128"/>
      <c r="H34" s="128"/>
      <c r="I34" s="166"/>
      <c r="J34" s="166"/>
      <c r="K34" s="166"/>
      <c r="L34" s="166"/>
      <c r="M34" s="166"/>
      <c r="N34" s="166"/>
      <c r="O34" s="166"/>
      <c r="P34" s="166"/>
      <c r="Q34" s="166"/>
      <c r="R34" s="167"/>
      <c r="S34" s="164"/>
      <c r="T34" s="164"/>
      <c r="U34" s="164"/>
      <c r="V34" s="164"/>
      <c r="W34" s="164"/>
      <c r="X34" s="164"/>
      <c r="Y34" s="164"/>
      <c r="Z34" s="164"/>
    </row>
    <row r="35" spans="3:26">
      <c r="C35" s="135"/>
      <c r="D35" s="128"/>
      <c r="E35" s="128"/>
      <c r="F35" s="128"/>
      <c r="G35" s="128"/>
      <c r="H35" s="128"/>
      <c r="I35" s="166"/>
      <c r="J35" s="166"/>
      <c r="K35" s="166"/>
      <c r="L35" s="129"/>
      <c r="M35" s="129"/>
      <c r="N35" s="129"/>
      <c r="O35" s="942" t="s">
        <v>2156</v>
      </c>
      <c r="P35" s="942"/>
      <c r="Q35" s="129"/>
      <c r="R35" s="168"/>
      <c r="S35" s="127"/>
      <c r="T35" s="127"/>
      <c r="U35" s="127"/>
      <c r="V35" s="127"/>
      <c r="W35" s="127"/>
      <c r="X35" s="127"/>
      <c r="Y35" s="127"/>
      <c r="Z35" s="164"/>
    </row>
    <row r="36" spans="3:26">
      <c r="C36" s="135"/>
      <c r="D36" s="128"/>
      <c r="E36" s="128"/>
      <c r="F36" s="128"/>
      <c r="G36" s="128"/>
      <c r="H36" s="128"/>
      <c r="I36" s="166"/>
      <c r="J36" s="166"/>
      <c r="K36" s="166"/>
      <c r="L36" s="129"/>
      <c r="M36" s="169" t="s">
        <v>16</v>
      </c>
      <c r="N36" s="169" t="s">
        <v>12</v>
      </c>
      <c r="O36" s="129" t="s">
        <v>2157</v>
      </c>
      <c r="P36" s="129" t="s">
        <v>2158</v>
      </c>
      <c r="Q36" s="129" t="s">
        <v>2593</v>
      </c>
      <c r="R36" s="168" t="s">
        <v>2594</v>
      </c>
      <c r="S36" s="127" t="s">
        <v>2595</v>
      </c>
      <c r="T36" s="127" t="s">
        <v>2596</v>
      </c>
      <c r="U36" s="127" t="s">
        <v>2597</v>
      </c>
      <c r="V36" s="127" t="s">
        <v>2598</v>
      </c>
      <c r="W36" s="127"/>
      <c r="X36" s="127" t="s">
        <v>2599</v>
      </c>
      <c r="Y36" s="127" t="s">
        <v>2600</v>
      </c>
      <c r="Z36" s="164"/>
    </row>
    <row r="37" spans="3:26">
      <c r="C37" s="135"/>
      <c r="D37" s="128"/>
      <c r="E37" s="128"/>
      <c r="F37" s="128"/>
      <c r="G37" s="128"/>
      <c r="H37" s="128"/>
      <c r="I37" s="166"/>
      <c r="J37" s="166"/>
      <c r="K37" s="166"/>
      <c r="L37" s="139" t="s">
        <v>2159</v>
      </c>
      <c r="M37" s="139">
        <v>106</v>
      </c>
      <c r="N37" s="139">
        <f>((M37*1.2)+((0.3*11)*M37))+(V37*0.3)</f>
        <v>482.99999999999994</v>
      </c>
      <c r="O37" s="129">
        <f t="shared" ref="O37:O43" si="0">M37*1.2</f>
        <v>127.19999999999999</v>
      </c>
      <c r="P37" s="129">
        <f>(12*0.3)*M37</f>
        <v>381.59999999999997</v>
      </c>
      <c r="Q37" s="129"/>
      <c r="R37" s="168">
        <f>M37*11</f>
        <v>1166</v>
      </c>
      <c r="S37" s="127">
        <f>R37/80</f>
        <v>14.574999999999999</v>
      </c>
      <c r="T37" s="127">
        <f>M37/20</f>
        <v>5.3</v>
      </c>
      <c r="U37" s="127">
        <f>S37+T37</f>
        <v>19.875</v>
      </c>
      <c r="V37" s="127">
        <f>ROUNDUP(U37,0)</f>
        <v>20</v>
      </c>
      <c r="W37" s="127"/>
      <c r="X37" s="127">
        <f>(R37*85)+(M37*300)</f>
        <v>130910</v>
      </c>
      <c r="Y37" s="127">
        <f>(R37*30)+(M37*100)</f>
        <v>45580</v>
      </c>
      <c r="Z37" s="164"/>
    </row>
    <row r="38" spans="3:26">
      <c r="C38" s="135"/>
      <c r="D38" s="128"/>
      <c r="E38" s="128"/>
      <c r="F38" s="128"/>
      <c r="G38" s="128"/>
      <c r="H38" s="128"/>
      <c r="I38" s="166"/>
      <c r="J38" s="166"/>
      <c r="K38" s="166"/>
      <c r="L38" s="139" t="s">
        <v>2160</v>
      </c>
      <c r="M38" s="139">
        <v>111</v>
      </c>
      <c r="N38" s="170">
        <f t="shared" ref="N38:N43" si="1">((M38*1.2)+((0.3*11)*M38))+(V38*0.3)</f>
        <v>505.79999999999995</v>
      </c>
      <c r="O38" s="129">
        <f t="shared" si="0"/>
        <v>133.19999999999999</v>
      </c>
      <c r="P38" s="129">
        <f t="shared" ref="P38:P43" si="2">(12*0.3)*M38</f>
        <v>399.59999999999997</v>
      </c>
      <c r="Q38" s="129">
        <f t="shared" ref="Q38:Q43" si="3">O38+P38</f>
        <v>532.79999999999995</v>
      </c>
      <c r="R38" s="168">
        <f t="shared" ref="R38:R43" si="4">M38*11</f>
        <v>1221</v>
      </c>
      <c r="S38" s="127">
        <f t="shared" ref="S38:S43" si="5">R38/80</f>
        <v>15.262499999999999</v>
      </c>
      <c r="T38" s="127">
        <f t="shared" ref="T38:T43" si="6">M38/20</f>
        <v>5.55</v>
      </c>
      <c r="U38" s="127">
        <f t="shared" ref="U38:U43" si="7">S38+T38</f>
        <v>20.8125</v>
      </c>
      <c r="V38" s="127">
        <f t="shared" ref="V38:V43" si="8">ROUNDUP(U38,0)</f>
        <v>21</v>
      </c>
      <c r="W38" s="127"/>
      <c r="X38" s="127">
        <f t="shared" ref="X38:X43" si="9">(R38*85)+(M38*300)</f>
        <v>137085</v>
      </c>
      <c r="Y38" s="127">
        <f t="shared" ref="Y38:Y43" si="10">(R38*30)+(M38*100)</f>
        <v>47730</v>
      </c>
      <c r="Z38" s="164"/>
    </row>
    <row r="39" spans="3:26">
      <c r="C39" s="135"/>
      <c r="D39" s="128"/>
      <c r="E39" s="128"/>
      <c r="F39" s="128"/>
      <c r="G39" s="128"/>
      <c r="H39" s="128"/>
      <c r="I39" s="166"/>
      <c r="J39" s="166"/>
      <c r="K39" s="166"/>
      <c r="L39" s="139" t="s">
        <v>2161</v>
      </c>
      <c r="M39" s="139">
        <v>91</v>
      </c>
      <c r="N39" s="170">
        <f t="shared" si="1"/>
        <v>414.9</v>
      </c>
      <c r="O39" s="129">
        <f t="shared" si="0"/>
        <v>109.2</v>
      </c>
      <c r="P39" s="129">
        <f t="shared" si="2"/>
        <v>327.59999999999997</v>
      </c>
      <c r="Q39" s="129">
        <f t="shared" si="3"/>
        <v>436.79999999999995</v>
      </c>
      <c r="R39" s="168">
        <f t="shared" si="4"/>
        <v>1001</v>
      </c>
      <c r="S39" s="127">
        <f t="shared" si="5"/>
        <v>12.512499999999999</v>
      </c>
      <c r="T39" s="127">
        <f t="shared" si="6"/>
        <v>4.55</v>
      </c>
      <c r="U39" s="127">
        <f t="shared" si="7"/>
        <v>17.0625</v>
      </c>
      <c r="V39" s="127">
        <f t="shared" si="8"/>
        <v>18</v>
      </c>
      <c r="W39" s="127"/>
      <c r="X39" s="127">
        <f t="shared" si="9"/>
        <v>112385</v>
      </c>
      <c r="Y39" s="127">
        <f t="shared" si="10"/>
        <v>39130</v>
      </c>
      <c r="Z39" s="164"/>
    </row>
    <row r="40" spans="3:26">
      <c r="C40" s="135"/>
      <c r="D40" s="128"/>
      <c r="E40" s="128"/>
      <c r="F40" s="128"/>
      <c r="G40" s="128"/>
      <c r="H40" s="128"/>
      <c r="I40" s="166"/>
      <c r="J40" s="166"/>
      <c r="K40" s="166"/>
      <c r="L40" s="139" t="s">
        <v>2162</v>
      </c>
      <c r="M40" s="139">
        <v>71</v>
      </c>
      <c r="N40" s="170">
        <f t="shared" si="1"/>
        <v>323.7</v>
      </c>
      <c r="O40" s="129">
        <f t="shared" si="0"/>
        <v>85.2</v>
      </c>
      <c r="P40" s="129">
        <f t="shared" si="2"/>
        <v>255.59999999999997</v>
      </c>
      <c r="Q40" s="129">
        <f t="shared" si="3"/>
        <v>340.79999999999995</v>
      </c>
      <c r="R40" s="168">
        <f t="shared" si="4"/>
        <v>781</v>
      </c>
      <c r="S40" s="127">
        <f t="shared" si="5"/>
        <v>9.7624999999999993</v>
      </c>
      <c r="T40" s="127">
        <f t="shared" si="6"/>
        <v>3.55</v>
      </c>
      <c r="U40" s="127">
        <f t="shared" si="7"/>
        <v>13.3125</v>
      </c>
      <c r="V40" s="127">
        <f t="shared" si="8"/>
        <v>14</v>
      </c>
      <c r="W40" s="127"/>
      <c r="X40" s="127">
        <f t="shared" si="9"/>
        <v>87685</v>
      </c>
      <c r="Y40" s="127">
        <f t="shared" si="10"/>
        <v>30530</v>
      </c>
      <c r="Z40" s="164"/>
    </row>
    <row r="41" spans="3:26">
      <c r="C41" s="135"/>
      <c r="D41" s="128"/>
      <c r="E41" s="128"/>
      <c r="F41" s="128"/>
      <c r="G41" s="128"/>
      <c r="H41" s="128"/>
      <c r="I41" s="166"/>
      <c r="J41" s="166"/>
      <c r="K41" s="166"/>
      <c r="L41" s="139" t="s">
        <v>2163</v>
      </c>
      <c r="M41" s="139">
        <v>61</v>
      </c>
      <c r="N41" s="170">
        <f t="shared" si="1"/>
        <v>278.10000000000002</v>
      </c>
      <c r="O41" s="129">
        <f t="shared" si="0"/>
        <v>73.2</v>
      </c>
      <c r="P41" s="129">
        <f t="shared" si="2"/>
        <v>219.59999999999997</v>
      </c>
      <c r="Q41" s="129">
        <f t="shared" si="3"/>
        <v>292.79999999999995</v>
      </c>
      <c r="R41" s="168">
        <f t="shared" si="4"/>
        <v>671</v>
      </c>
      <c r="S41" s="127">
        <f t="shared" si="5"/>
        <v>8.3874999999999993</v>
      </c>
      <c r="T41" s="127">
        <f t="shared" si="6"/>
        <v>3.05</v>
      </c>
      <c r="U41" s="127">
        <f t="shared" si="7"/>
        <v>11.4375</v>
      </c>
      <c r="V41" s="127">
        <f t="shared" si="8"/>
        <v>12</v>
      </c>
      <c r="W41" s="127"/>
      <c r="X41" s="127">
        <f t="shared" si="9"/>
        <v>75335</v>
      </c>
      <c r="Y41" s="127">
        <f t="shared" si="10"/>
        <v>26230</v>
      </c>
      <c r="Z41" s="164"/>
    </row>
    <row r="42" spans="3:26">
      <c r="C42" s="135"/>
      <c r="D42" s="128"/>
      <c r="E42" s="128"/>
      <c r="F42" s="128"/>
      <c r="G42" s="128"/>
      <c r="H42" s="128"/>
      <c r="I42" s="166"/>
      <c r="J42" s="166"/>
      <c r="K42" s="166"/>
      <c r="L42" s="139" t="s">
        <v>2164</v>
      </c>
      <c r="M42" s="139">
        <v>46</v>
      </c>
      <c r="N42" s="170">
        <f t="shared" si="1"/>
        <v>209.69999999999996</v>
      </c>
      <c r="O42" s="129">
        <f t="shared" si="0"/>
        <v>55.199999999999996</v>
      </c>
      <c r="P42" s="129">
        <f t="shared" si="2"/>
        <v>165.6</v>
      </c>
      <c r="Q42" s="129">
        <f t="shared" si="3"/>
        <v>220.79999999999998</v>
      </c>
      <c r="R42" s="168">
        <f t="shared" si="4"/>
        <v>506</v>
      </c>
      <c r="S42" s="127">
        <f t="shared" si="5"/>
        <v>6.3250000000000002</v>
      </c>
      <c r="T42" s="127">
        <f t="shared" si="6"/>
        <v>2.2999999999999998</v>
      </c>
      <c r="U42" s="127">
        <f t="shared" si="7"/>
        <v>8.625</v>
      </c>
      <c r="V42" s="127">
        <f t="shared" si="8"/>
        <v>9</v>
      </c>
      <c r="W42" s="127"/>
      <c r="X42" s="127">
        <f t="shared" si="9"/>
        <v>56810</v>
      </c>
      <c r="Y42" s="127">
        <f t="shared" si="10"/>
        <v>19780</v>
      </c>
      <c r="Z42" s="164"/>
    </row>
    <row r="43" spans="3:26">
      <c r="C43" s="135"/>
      <c r="D43" s="128"/>
      <c r="E43" s="128"/>
      <c r="F43" s="128"/>
      <c r="G43" s="128"/>
      <c r="H43" s="128"/>
      <c r="I43" s="166"/>
      <c r="J43" s="166"/>
      <c r="K43" s="166"/>
      <c r="L43" s="139" t="s">
        <v>2165</v>
      </c>
      <c r="M43" s="139">
        <v>19</v>
      </c>
      <c r="N43" s="170">
        <f t="shared" si="1"/>
        <v>86.7</v>
      </c>
      <c r="O43" s="129">
        <f t="shared" si="0"/>
        <v>22.8</v>
      </c>
      <c r="P43" s="129">
        <f t="shared" si="2"/>
        <v>68.399999999999991</v>
      </c>
      <c r="Q43" s="129">
        <f t="shared" si="3"/>
        <v>91.199999999999989</v>
      </c>
      <c r="R43" s="168">
        <f t="shared" si="4"/>
        <v>209</v>
      </c>
      <c r="S43" s="127">
        <f t="shared" si="5"/>
        <v>2.6124999999999998</v>
      </c>
      <c r="T43" s="127">
        <f t="shared" si="6"/>
        <v>0.95</v>
      </c>
      <c r="U43" s="127">
        <f t="shared" si="7"/>
        <v>3.5625</v>
      </c>
      <c r="V43" s="127">
        <f t="shared" si="8"/>
        <v>4</v>
      </c>
      <c r="W43" s="127"/>
      <c r="X43" s="127">
        <f t="shared" si="9"/>
        <v>23465</v>
      </c>
      <c r="Y43" s="127">
        <f t="shared" si="10"/>
        <v>8170</v>
      </c>
      <c r="Z43" s="164"/>
    </row>
    <row r="44" spans="3:26">
      <c r="C44" s="135"/>
      <c r="D44" s="128"/>
      <c r="E44" s="128"/>
      <c r="F44" s="128"/>
      <c r="G44" s="128"/>
      <c r="H44" s="128"/>
      <c r="I44" s="166"/>
      <c r="J44" s="166"/>
      <c r="K44" s="166"/>
      <c r="L44" s="129"/>
      <c r="M44" s="129"/>
      <c r="N44" s="129"/>
      <c r="O44" s="129"/>
      <c r="P44" s="129"/>
      <c r="Q44" s="171"/>
      <c r="R44" s="168"/>
      <c r="S44" s="127"/>
      <c r="T44" s="127"/>
      <c r="U44" s="127"/>
      <c r="V44" s="127"/>
      <c r="W44" s="127" t="s">
        <v>2601</v>
      </c>
      <c r="X44" s="127">
        <f>INDEX(руб,S4)</f>
        <v>56810</v>
      </c>
      <c r="Y44" s="127">
        <f>INDEX(грн,S4)</f>
        <v>19780</v>
      </c>
      <c r="Z44" s="164"/>
    </row>
    <row r="45" spans="3:26">
      <c r="C45" s="135"/>
      <c r="D45" s="128"/>
      <c r="E45" s="128"/>
      <c r="F45" s="128"/>
      <c r="G45" s="128"/>
      <c r="H45" s="128"/>
      <c r="I45" s="166"/>
      <c r="J45" s="166"/>
      <c r="K45" s="166"/>
      <c r="L45" s="166"/>
      <c r="M45" s="166"/>
      <c r="N45" s="166"/>
      <c r="O45" s="166"/>
      <c r="P45" s="166"/>
      <c r="Q45" s="172"/>
      <c r="R45" s="167"/>
      <c r="S45" s="164"/>
      <c r="T45" s="164"/>
      <c r="U45" s="164"/>
      <c r="V45" s="164"/>
      <c r="W45" s="164"/>
      <c r="X45" s="164"/>
      <c r="Y45" s="164"/>
      <c r="Z45" s="164"/>
    </row>
    <row r="46" spans="3:26">
      <c r="C46" s="135"/>
      <c r="D46" s="128"/>
      <c r="E46" s="128"/>
      <c r="F46" s="128"/>
      <c r="G46" s="128"/>
      <c r="H46" s="128"/>
      <c r="I46" s="166"/>
      <c r="J46" s="166"/>
      <c r="K46" s="166"/>
      <c r="L46" s="166"/>
      <c r="M46" s="166"/>
      <c r="N46" s="166"/>
      <c r="O46" s="166"/>
      <c r="P46" s="166"/>
      <c r="Q46" s="166"/>
      <c r="R46" s="167"/>
      <c r="S46" s="164"/>
      <c r="T46" s="164"/>
      <c r="U46" s="164"/>
      <c r="V46" s="164"/>
      <c r="W46" s="164"/>
      <c r="X46" s="164"/>
      <c r="Y46" s="164"/>
      <c r="Z46" s="164"/>
    </row>
    <row r="47" spans="3:26">
      <c r="C47" s="135"/>
      <c r="D47" s="128"/>
      <c r="E47" s="128"/>
      <c r="F47" s="128"/>
      <c r="G47" s="128"/>
      <c r="H47" s="128"/>
      <c r="I47" s="166"/>
      <c r="J47" s="166"/>
      <c r="K47" s="166"/>
      <c r="L47" s="166"/>
      <c r="M47" s="166"/>
      <c r="N47" s="166"/>
      <c r="O47" s="166"/>
      <c r="P47" s="166"/>
      <c r="Q47" s="166"/>
      <c r="R47" s="167"/>
      <c r="S47" s="164"/>
      <c r="T47" s="164"/>
      <c r="U47" s="164"/>
      <c r="V47" s="164"/>
      <c r="W47" s="164"/>
      <c r="X47" s="164"/>
      <c r="Y47" s="164"/>
      <c r="Z47" s="164"/>
    </row>
    <row r="48" spans="3:26">
      <c r="C48" s="135"/>
      <c r="D48" s="128"/>
      <c r="E48" s="128"/>
      <c r="F48" s="128"/>
      <c r="G48" s="128"/>
      <c r="H48" s="128"/>
      <c r="I48" s="166"/>
      <c r="J48" s="166"/>
      <c r="K48" s="166"/>
      <c r="L48" s="166"/>
      <c r="M48" s="166"/>
      <c r="N48" s="166"/>
      <c r="O48" s="166"/>
      <c r="P48" s="166"/>
      <c r="Q48" s="166"/>
      <c r="R48" s="167"/>
      <c r="S48" s="164"/>
      <c r="T48" s="164"/>
      <c r="U48" s="164"/>
      <c r="V48" s="164"/>
      <c r="W48" s="164"/>
      <c r="X48" s="164"/>
      <c r="Y48" s="164"/>
      <c r="Z48" s="164"/>
    </row>
    <row r="49" spans="3:26">
      <c r="C49" s="135"/>
      <c r="D49" s="128"/>
      <c r="E49" s="128"/>
      <c r="F49" s="128"/>
      <c r="G49" s="128"/>
      <c r="H49" s="128"/>
      <c r="I49" s="166"/>
      <c r="J49" s="166"/>
      <c r="K49" s="166"/>
      <c r="L49" s="166"/>
      <c r="M49" s="166"/>
      <c r="N49" s="166"/>
      <c r="O49" s="166"/>
      <c r="P49" s="166"/>
      <c r="Q49" s="166"/>
      <c r="R49" s="167"/>
      <c r="S49" s="164"/>
      <c r="T49" s="164"/>
      <c r="U49" s="164"/>
      <c r="V49" s="164"/>
      <c r="W49" s="164"/>
      <c r="X49" s="164"/>
      <c r="Y49" s="164"/>
      <c r="Z49" s="164"/>
    </row>
    <row r="50" spans="3:26">
      <c r="C50" s="135"/>
      <c r="D50" s="128"/>
      <c r="E50" s="128"/>
      <c r="F50" s="128"/>
      <c r="G50" s="128"/>
      <c r="H50" s="128"/>
      <c r="I50" s="166"/>
      <c r="J50" s="166"/>
      <c r="K50" s="166"/>
      <c r="L50" s="166"/>
      <c r="M50" s="166"/>
      <c r="N50" s="166"/>
      <c r="O50" s="166"/>
      <c r="P50" s="166"/>
      <c r="Q50" s="166"/>
      <c r="R50" s="167"/>
      <c r="S50" s="164"/>
      <c r="T50" s="164"/>
      <c r="U50" s="164"/>
      <c r="V50" s="164"/>
      <c r="W50" s="164"/>
      <c r="X50" s="164"/>
      <c r="Y50" s="164"/>
      <c r="Z50" s="164"/>
    </row>
    <row r="51" spans="3:26">
      <c r="C51" s="135"/>
      <c r="D51" s="128"/>
      <c r="E51" s="128"/>
      <c r="F51" s="128"/>
      <c r="G51" s="128"/>
      <c r="H51" s="128"/>
      <c r="I51" s="166"/>
      <c r="J51" s="166"/>
      <c r="K51" s="166"/>
      <c r="L51" s="166"/>
      <c r="M51" s="166"/>
      <c r="N51" s="166"/>
      <c r="O51" s="166"/>
      <c r="P51" s="166"/>
      <c r="Q51" s="166"/>
      <c r="R51" s="167"/>
      <c r="S51" s="164"/>
      <c r="T51" s="164"/>
      <c r="U51" s="164"/>
      <c r="V51" s="164"/>
      <c r="W51" s="164"/>
      <c r="X51" s="164"/>
      <c r="Y51" s="164"/>
      <c r="Z51" s="164"/>
    </row>
    <row r="52" spans="3:26">
      <c r="C52" s="135"/>
      <c r="D52" s="128"/>
      <c r="E52" s="128"/>
      <c r="F52" s="128"/>
      <c r="G52" s="128"/>
      <c r="H52" s="128"/>
      <c r="I52" s="166"/>
      <c r="J52" s="166"/>
      <c r="K52" s="166"/>
      <c r="L52" s="166"/>
      <c r="M52" s="166"/>
      <c r="N52" s="166"/>
      <c r="O52" s="166"/>
      <c r="P52" s="166"/>
      <c r="Q52" s="166"/>
      <c r="R52" s="167"/>
      <c r="S52" s="164"/>
      <c r="T52" s="164"/>
      <c r="U52" s="164"/>
      <c r="V52" s="164"/>
      <c r="W52" s="164"/>
      <c r="X52" s="164"/>
      <c r="Y52" s="164"/>
      <c r="Z52" s="164"/>
    </row>
    <row r="53" spans="3:26">
      <c r="C53" s="135"/>
      <c r="D53" s="128"/>
      <c r="E53" s="128"/>
      <c r="F53" s="128"/>
      <c r="G53" s="128"/>
      <c r="H53" s="128"/>
      <c r="I53" s="166"/>
      <c r="J53" s="166"/>
      <c r="K53" s="166"/>
      <c r="L53" s="166"/>
      <c r="M53" s="166"/>
      <c r="N53" s="166"/>
      <c r="O53" s="166"/>
      <c r="P53" s="166"/>
      <c r="Q53" s="166"/>
      <c r="R53" s="167"/>
      <c r="S53" s="164"/>
      <c r="T53" s="164"/>
      <c r="U53" s="164"/>
      <c r="V53" s="164"/>
      <c r="W53" s="164"/>
      <c r="X53" s="164"/>
      <c r="Y53" s="164"/>
      <c r="Z53" s="164"/>
    </row>
    <row r="54" spans="3:26">
      <c r="C54" s="135"/>
      <c r="D54" s="128"/>
      <c r="E54" s="128"/>
      <c r="F54" s="128"/>
      <c r="G54" s="128"/>
      <c r="H54" s="128"/>
      <c r="I54" s="166"/>
      <c r="J54" s="166"/>
      <c r="K54" s="166"/>
      <c r="L54" s="166"/>
      <c r="M54" s="166"/>
      <c r="N54" s="166"/>
      <c r="O54" s="166"/>
      <c r="P54" s="166"/>
      <c r="Q54" s="166"/>
      <c r="R54" s="167"/>
      <c r="S54" s="164"/>
      <c r="T54" s="164"/>
      <c r="U54" s="164"/>
      <c r="V54" s="164"/>
      <c r="W54" s="164"/>
      <c r="X54" s="164"/>
      <c r="Y54" s="164"/>
      <c r="Z54" s="164"/>
    </row>
    <row r="55" spans="3:26">
      <c r="C55" s="135"/>
      <c r="D55" s="128"/>
      <c r="E55" s="128"/>
      <c r="F55" s="128"/>
      <c r="G55" s="128"/>
      <c r="H55" s="128"/>
      <c r="I55" s="166"/>
      <c r="J55" s="166"/>
      <c r="K55" s="166"/>
      <c r="L55" s="166"/>
      <c r="M55" s="166"/>
      <c r="N55" s="166"/>
      <c r="O55" s="166"/>
      <c r="P55" s="166"/>
      <c r="Q55" s="166"/>
      <c r="R55" s="167"/>
      <c r="S55" s="164"/>
      <c r="T55" s="164"/>
      <c r="U55" s="164"/>
      <c r="V55" s="164"/>
      <c r="W55" s="164"/>
      <c r="X55" s="164"/>
      <c r="Y55" s="164"/>
      <c r="Z55" s="164"/>
    </row>
    <row r="56" spans="3:26">
      <c r="C56" s="135"/>
      <c r="D56" s="128"/>
      <c r="E56" s="128"/>
      <c r="F56" s="128"/>
      <c r="G56" s="128"/>
      <c r="H56" s="128"/>
      <c r="I56" s="166"/>
      <c r="J56" s="166"/>
      <c r="K56" s="166"/>
      <c r="L56" s="166"/>
      <c r="M56" s="166"/>
      <c r="N56" s="166"/>
      <c r="O56" s="166"/>
      <c r="P56" s="166"/>
      <c r="Q56" s="166"/>
      <c r="R56" s="167"/>
      <c r="S56" s="164"/>
      <c r="T56" s="164"/>
      <c r="U56" s="164"/>
      <c r="V56" s="164"/>
      <c r="W56" s="164"/>
      <c r="X56" s="164"/>
      <c r="Y56" s="164"/>
      <c r="Z56" s="164"/>
    </row>
    <row r="57" spans="3:26">
      <c r="C57" s="135"/>
      <c r="D57" s="128"/>
      <c r="E57" s="128"/>
      <c r="F57" s="128"/>
      <c r="G57" s="128"/>
      <c r="H57" s="128"/>
      <c r="I57" s="166"/>
      <c r="J57" s="166"/>
      <c r="K57" s="166"/>
      <c r="L57" s="166"/>
      <c r="M57" s="166"/>
      <c r="N57" s="166"/>
      <c r="O57" s="166"/>
      <c r="P57" s="166"/>
      <c r="Q57" s="166"/>
      <c r="R57" s="167"/>
      <c r="S57" s="164"/>
      <c r="T57" s="164"/>
      <c r="U57" s="164"/>
      <c r="V57" s="164"/>
      <c r="W57" s="164"/>
      <c r="X57" s="164"/>
      <c r="Y57" s="164"/>
      <c r="Z57" s="164"/>
    </row>
    <row r="58" spans="3:26">
      <c r="C58" s="135"/>
      <c r="D58" s="128"/>
      <c r="E58" s="128"/>
      <c r="F58" s="128"/>
      <c r="G58" s="128"/>
      <c r="H58" s="128"/>
      <c r="I58" s="166"/>
      <c r="J58" s="166"/>
      <c r="K58" s="166"/>
      <c r="L58" s="166"/>
      <c r="M58" s="166"/>
      <c r="N58" s="166"/>
      <c r="O58" s="166"/>
      <c r="P58" s="166"/>
      <c r="Q58" s="166"/>
      <c r="R58" s="167"/>
      <c r="S58" s="164"/>
      <c r="T58" s="164"/>
      <c r="U58" s="164"/>
      <c r="V58" s="164"/>
      <c r="W58" s="164"/>
      <c r="X58" s="164"/>
      <c r="Y58" s="164"/>
      <c r="Z58" s="164"/>
    </row>
    <row r="59" spans="3:26">
      <c r="C59" s="135"/>
      <c r="D59" s="128"/>
      <c r="E59" s="128"/>
      <c r="F59" s="128"/>
      <c r="G59" s="128"/>
      <c r="H59" s="128"/>
      <c r="I59" s="166"/>
      <c r="J59" s="166"/>
      <c r="K59" s="166"/>
      <c r="L59" s="166"/>
      <c r="M59" s="166"/>
      <c r="N59" s="166"/>
      <c r="O59" s="166"/>
      <c r="P59" s="166"/>
      <c r="Q59" s="166"/>
      <c r="R59" s="167"/>
      <c r="S59" s="164"/>
      <c r="T59" s="164"/>
      <c r="U59" s="164"/>
      <c r="V59" s="164"/>
      <c r="W59" s="164"/>
      <c r="X59" s="164"/>
      <c r="Y59" s="164"/>
      <c r="Z59" s="164"/>
    </row>
    <row r="60" spans="3:26">
      <c r="C60" s="135"/>
      <c r="D60" s="128"/>
      <c r="E60" s="128"/>
      <c r="F60" s="128"/>
      <c r="G60" s="128"/>
      <c r="H60" s="128"/>
      <c r="I60" s="166"/>
      <c r="J60" s="166"/>
      <c r="K60" s="166"/>
      <c r="L60" s="166"/>
      <c r="M60" s="166"/>
      <c r="N60" s="166"/>
      <c r="O60" s="166"/>
      <c r="P60" s="166"/>
      <c r="Q60" s="166"/>
      <c r="R60" s="167"/>
      <c r="S60" s="164"/>
      <c r="T60" s="164"/>
      <c r="U60" s="164"/>
      <c r="V60" s="164"/>
      <c r="W60" s="164"/>
      <c r="X60" s="164"/>
      <c r="Y60" s="164"/>
      <c r="Z60" s="164"/>
    </row>
    <row r="61" spans="3:26">
      <c r="C61" s="135"/>
      <c r="D61" s="128"/>
      <c r="E61" s="128"/>
      <c r="F61" s="128"/>
      <c r="G61" s="128"/>
      <c r="H61" s="128"/>
      <c r="I61" s="166"/>
      <c r="J61" s="166"/>
      <c r="K61" s="166"/>
      <c r="L61" s="166"/>
      <c r="M61" s="166"/>
      <c r="N61" s="166"/>
      <c r="O61" s="166"/>
      <c r="P61" s="166"/>
      <c r="Q61" s="166"/>
      <c r="R61" s="167"/>
      <c r="S61" s="164"/>
      <c r="T61" s="164"/>
      <c r="U61" s="164"/>
      <c r="V61" s="164"/>
      <c r="W61" s="164"/>
      <c r="X61" s="164"/>
      <c r="Y61" s="164"/>
      <c r="Z61" s="164"/>
    </row>
    <row r="62" spans="3:26">
      <c r="C62" s="135"/>
      <c r="D62" s="128"/>
      <c r="E62" s="128"/>
      <c r="F62" s="128"/>
      <c r="G62" s="128"/>
      <c r="H62" s="128"/>
      <c r="I62" s="166"/>
      <c r="J62" s="166"/>
      <c r="K62" s="166"/>
      <c r="L62" s="166"/>
      <c r="M62" s="166"/>
      <c r="N62" s="166"/>
      <c r="O62" s="166"/>
      <c r="P62" s="166"/>
      <c r="Q62" s="166"/>
      <c r="R62" s="167"/>
      <c r="S62" s="164"/>
      <c r="T62" s="164"/>
      <c r="U62" s="164"/>
      <c r="V62" s="164"/>
      <c r="W62" s="164"/>
      <c r="X62" s="164"/>
      <c r="Y62" s="164"/>
      <c r="Z62" s="164"/>
    </row>
    <row r="63" spans="3:26">
      <c r="C63" s="135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34"/>
    </row>
    <row r="64" spans="3:26">
      <c r="C64" s="135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34"/>
    </row>
    <row r="65" spans="3:18">
      <c r="C65" s="135"/>
      <c r="D65" s="128"/>
      <c r="E65" s="128"/>
      <c r="F65" s="128"/>
      <c r="G65" s="128"/>
      <c r="H65" s="128"/>
      <c r="I65" s="128"/>
      <c r="J65" s="128"/>
      <c r="K65" s="128"/>
      <c r="L65" s="933"/>
      <c r="M65" s="933"/>
      <c r="N65" s="128"/>
      <c r="O65" s="128"/>
      <c r="P65" s="128"/>
      <c r="Q65" s="128"/>
      <c r="R65" s="134"/>
    </row>
    <row r="66" spans="3:18">
      <c r="C66" s="135"/>
      <c r="D66" s="128"/>
      <c r="E66" s="128"/>
      <c r="F66" s="128"/>
      <c r="G66" s="128"/>
      <c r="H66" s="128"/>
      <c r="I66" s="128"/>
      <c r="J66" s="128"/>
      <c r="K66" s="128"/>
      <c r="L66" s="933"/>
      <c r="M66" s="933"/>
      <c r="N66" s="128"/>
      <c r="O66" s="128"/>
      <c r="P66" s="128"/>
      <c r="Q66" s="128"/>
      <c r="R66" s="134"/>
    </row>
    <row r="67" spans="3:18">
      <c r="C67" s="135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34"/>
    </row>
    <row r="68" spans="3:18">
      <c r="C68" s="135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34"/>
    </row>
    <row r="69" spans="3:18">
      <c r="C69" s="135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34"/>
    </row>
    <row r="70" spans="3:18">
      <c r="C70" s="135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34"/>
    </row>
    <row r="71" spans="3:18">
      <c r="C71" s="135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34"/>
    </row>
    <row r="72" spans="3:18">
      <c r="C72" s="135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34"/>
    </row>
    <row r="73" spans="3:18">
      <c r="C73" s="136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8"/>
    </row>
  </sheetData>
  <sheetProtection password="C665" sheet="1" objects="1" scenarios="1" selectLockedCells="1" selectUnlockedCells="1"/>
  <mergeCells count="25">
    <mergeCell ref="Q12:R14"/>
    <mergeCell ref="R19:R20"/>
    <mergeCell ref="C12:L14"/>
    <mergeCell ref="AH1:AI1"/>
    <mergeCell ref="M17:P18"/>
    <mergeCell ref="Q17:Q18"/>
    <mergeCell ref="U3:V3"/>
    <mergeCell ref="U4:V4"/>
    <mergeCell ref="C8:R11"/>
    <mergeCell ref="U2:V2"/>
    <mergeCell ref="N1:O1"/>
    <mergeCell ref="C1:E1"/>
    <mergeCell ref="P1:Q1"/>
    <mergeCell ref="M16:P16"/>
    <mergeCell ref="M12:P14"/>
    <mergeCell ref="I17:L18"/>
    <mergeCell ref="L65:M66"/>
    <mergeCell ref="M19:O20"/>
    <mergeCell ref="P19:P20"/>
    <mergeCell ref="R17:R18"/>
    <mergeCell ref="C17:H18"/>
    <mergeCell ref="O35:P35"/>
    <mergeCell ref="Q19:Q20"/>
    <mergeCell ref="K25:K27"/>
    <mergeCell ref="L25:L27"/>
  </mergeCells>
  <hyperlinks>
    <hyperlink ref="H1" location="Купол!A1" display="Купол"/>
    <hyperlink ref="I1" location="козырёк!A1" display="Козырьки"/>
    <hyperlink ref="K1" location="'Стены 1'!A1" display="Стены 1"/>
    <hyperlink ref="L1" location="Перекрытие2!A1" display="Перекрытие 2"/>
    <hyperlink ref="M1" location="Стены2!A1" display="Стены 2"/>
    <hyperlink ref="N1" location="Башня!A1" display="Обзорная башня"/>
    <hyperlink ref="R1" location="Доставка!A1" display="Окна"/>
    <hyperlink ref="G1" location="'Смета фунд.'!A1" display="Смета фундамента"/>
    <hyperlink ref="P1" location="Окна!A1" display="Окна"/>
    <hyperlink ref="C1" location="Главная!A1" display="Главная"/>
    <hyperlink ref="J1" location="'Перекрытия 1'!A1" display="Перекр.1"/>
    <hyperlink ref="F1" location="'Район фунд.'!A1" display="Район фундамента"/>
  </hyperlinks>
  <pageMargins left="0.7" right="0.7" top="0.75" bottom="0.75" header="0.3" footer="0.3"/>
  <pageSetup paperSize="9" orientation="portrait" verticalDpi="3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X824"/>
  <sheetViews>
    <sheetView workbookViewId="0">
      <pane ySplit="9" topLeftCell="A25" activePane="bottomLeft" state="frozenSplit"/>
      <selection pane="bottomLeft" activeCell="G2" sqref="G2:T5"/>
    </sheetView>
  </sheetViews>
  <sheetFormatPr defaultColWidth="9.1796875" defaultRowHeight="12.75" customHeight="1"/>
  <cols>
    <col min="1" max="1" width="15.1796875" style="126" customWidth="1"/>
    <col min="2" max="2" width="15.1796875" style="126" hidden="1" customWidth="1"/>
    <col min="3" max="3" width="18.81640625" style="126" customWidth="1"/>
    <col min="4" max="4" width="5.54296875" style="126" customWidth="1"/>
    <col min="5" max="10" width="3.7265625" style="126" customWidth="1"/>
    <col min="11" max="11" width="4.7265625" style="126" customWidth="1"/>
    <col min="12" max="12" width="5.1796875" style="126" customWidth="1"/>
    <col min="13" max="13" width="5.26953125" style="126" customWidth="1"/>
    <col min="14" max="14" width="5.81640625" style="126" customWidth="1"/>
    <col min="15" max="15" width="5.1796875" style="126" customWidth="1"/>
    <col min="16" max="31" width="3.7265625" style="126" customWidth="1"/>
    <col min="32" max="16384" width="9.1796875" style="126"/>
  </cols>
  <sheetData>
    <row r="1" spans="1:50" ht="12.75" customHeight="1">
      <c r="A1" s="978"/>
      <c r="B1" s="978"/>
      <c r="C1" s="978"/>
      <c r="D1" s="978"/>
      <c r="E1" s="978"/>
      <c r="F1" s="978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9" t="s">
        <v>2580</v>
      </c>
      <c r="Z1" s="159"/>
      <c r="AA1" s="159"/>
      <c r="AB1" s="159"/>
      <c r="AC1" s="159"/>
      <c r="AD1" s="159"/>
      <c r="AE1" s="159"/>
    </row>
    <row r="2" spans="1:50" ht="12.75" customHeight="1">
      <c r="A2" s="978"/>
      <c r="B2" s="978"/>
      <c r="C2" s="978"/>
      <c r="D2" s="978"/>
      <c r="E2" s="978"/>
      <c r="F2" s="978"/>
      <c r="G2" s="979" t="s">
        <v>2579</v>
      </c>
      <c r="H2" s="979"/>
      <c r="I2" s="979"/>
      <c r="J2" s="979"/>
      <c r="K2" s="979"/>
      <c r="L2" s="979"/>
      <c r="M2" s="979"/>
      <c r="N2" s="979"/>
      <c r="O2" s="979"/>
      <c r="P2" s="979"/>
      <c r="Q2" s="979"/>
      <c r="R2" s="979"/>
      <c r="S2" s="979"/>
      <c r="T2" s="979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</row>
    <row r="3" spans="1:50" ht="12.75" customHeight="1">
      <c r="A3" s="978"/>
      <c r="B3" s="978"/>
      <c r="C3" s="978"/>
      <c r="D3" s="978"/>
      <c r="E3" s="978"/>
      <c r="F3" s="978"/>
      <c r="G3" s="979"/>
      <c r="H3" s="979"/>
      <c r="I3" s="979"/>
      <c r="J3" s="979"/>
      <c r="K3" s="979"/>
      <c r="L3" s="979"/>
      <c r="M3" s="979"/>
      <c r="N3" s="979"/>
      <c r="O3" s="979"/>
      <c r="P3" s="979"/>
      <c r="Q3" s="979"/>
      <c r="R3" s="979"/>
      <c r="S3" s="979"/>
      <c r="T3" s="979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</row>
    <row r="4" spans="1:50" ht="12.75" customHeight="1">
      <c r="A4" s="978"/>
      <c r="B4" s="978"/>
      <c r="C4" s="978"/>
      <c r="D4" s="978"/>
      <c r="E4" s="978"/>
      <c r="F4" s="978"/>
      <c r="G4" s="979"/>
      <c r="H4" s="979"/>
      <c r="I4" s="979"/>
      <c r="J4" s="979"/>
      <c r="K4" s="979"/>
      <c r="L4" s="979"/>
      <c r="M4" s="979"/>
      <c r="N4" s="979"/>
      <c r="O4" s="979"/>
      <c r="P4" s="979"/>
      <c r="Q4" s="979"/>
      <c r="R4" s="979"/>
      <c r="S4" s="979"/>
      <c r="T4" s="979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</row>
    <row r="5" spans="1:50" ht="18" customHeight="1">
      <c r="A5" s="978"/>
      <c r="B5" s="978"/>
      <c r="C5" s="978"/>
      <c r="D5" s="978"/>
      <c r="E5" s="978"/>
      <c r="F5" s="978"/>
      <c r="G5" s="979"/>
      <c r="H5" s="979"/>
      <c r="I5" s="979"/>
      <c r="J5" s="979"/>
      <c r="K5" s="979"/>
      <c r="L5" s="979"/>
      <c r="M5" s="979"/>
      <c r="N5" s="979"/>
      <c r="O5" s="979"/>
      <c r="P5" s="979"/>
      <c r="Q5" s="979"/>
      <c r="R5" s="979"/>
      <c r="S5" s="979"/>
      <c r="T5" s="979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</row>
    <row r="6" spans="1:50" ht="26.25" customHeight="1">
      <c r="A6" s="980" t="s">
        <v>2578</v>
      </c>
      <c r="B6" s="980"/>
      <c r="C6" s="980"/>
      <c r="D6" s="980"/>
      <c r="E6" s="980"/>
      <c r="F6" s="980"/>
      <c r="G6" s="980"/>
      <c r="H6" s="980"/>
      <c r="I6" s="980"/>
      <c r="J6" s="980"/>
      <c r="K6" s="980"/>
      <c r="L6" s="980"/>
      <c r="M6" s="980"/>
      <c r="N6" s="980"/>
      <c r="O6" s="980"/>
      <c r="P6" s="980"/>
      <c r="Q6" s="980"/>
      <c r="R6" s="980"/>
      <c r="S6" s="980"/>
      <c r="T6" s="980"/>
      <c r="U6" s="980"/>
      <c r="V6" s="980"/>
      <c r="W6" s="980"/>
      <c r="X6" s="980"/>
      <c r="Y6" s="980"/>
      <c r="Z6" s="980"/>
      <c r="AA6" s="980"/>
      <c r="AB6" s="980"/>
      <c r="AC6" s="980"/>
      <c r="AD6" s="980"/>
      <c r="AE6" s="980"/>
    </row>
    <row r="7" spans="1:50" ht="12.75" customHeight="1">
      <c r="A7" s="156" t="s">
        <v>1996</v>
      </c>
      <c r="B7" s="155"/>
      <c r="C7" s="154"/>
      <c r="D7" s="154"/>
      <c r="E7" s="981" t="s">
        <v>2156</v>
      </c>
      <c r="F7" s="982"/>
      <c r="G7" s="982"/>
      <c r="H7" s="982"/>
      <c r="I7" s="983"/>
      <c r="J7" s="984" t="s">
        <v>2577</v>
      </c>
      <c r="K7" s="984"/>
      <c r="L7" s="984"/>
      <c r="M7" s="984"/>
      <c r="N7" s="984"/>
      <c r="O7" s="984"/>
      <c r="P7" s="984"/>
      <c r="Q7" s="984"/>
      <c r="R7" s="984"/>
      <c r="S7" s="984"/>
      <c r="T7" s="984"/>
      <c r="U7" s="984"/>
      <c r="V7" s="985"/>
      <c r="W7" s="986" t="s">
        <v>2576</v>
      </c>
      <c r="X7" s="986"/>
      <c r="Y7" s="986"/>
      <c r="Z7" s="986"/>
      <c r="AA7" s="986"/>
      <c r="AB7" s="986"/>
      <c r="AC7" s="986"/>
      <c r="AD7" s="986"/>
      <c r="AE7" s="987"/>
    </row>
    <row r="8" spans="1:50" ht="12.75" customHeight="1">
      <c r="A8" s="972" t="s">
        <v>2575</v>
      </c>
      <c r="B8" s="973"/>
      <c r="C8" s="974"/>
      <c r="D8" s="970" t="s">
        <v>2574</v>
      </c>
      <c r="E8" s="970" t="s">
        <v>2573</v>
      </c>
      <c r="F8" s="970" t="s">
        <v>2572</v>
      </c>
      <c r="G8" s="970" t="s">
        <v>2571</v>
      </c>
      <c r="H8" s="970" t="s">
        <v>2570</v>
      </c>
      <c r="I8" s="970" t="s">
        <v>2569</v>
      </c>
      <c r="J8" s="970" t="s">
        <v>2568</v>
      </c>
      <c r="K8" s="968" t="s">
        <v>2567</v>
      </c>
      <c r="L8" s="968">
        <v>100</v>
      </c>
      <c r="M8" s="970">
        <v>200</v>
      </c>
      <c r="N8" s="968">
        <v>500</v>
      </c>
      <c r="O8" s="968">
        <v>1000</v>
      </c>
      <c r="P8" s="970">
        <v>1500</v>
      </c>
      <c r="Q8" s="970">
        <v>2000</v>
      </c>
      <c r="R8" s="968">
        <v>3000</v>
      </c>
      <c r="S8" s="968">
        <v>5000</v>
      </c>
      <c r="T8" s="968">
        <v>10000</v>
      </c>
      <c r="U8" s="968">
        <v>14000</v>
      </c>
      <c r="V8" s="968">
        <v>18000</v>
      </c>
      <c r="W8" s="968" t="s">
        <v>2566</v>
      </c>
      <c r="X8" s="968" t="s">
        <v>2565</v>
      </c>
      <c r="Y8" s="970">
        <v>1</v>
      </c>
      <c r="Z8" s="968">
        <v>4</v>
      </c>
      <c r="AA8" s="968">
        <v>7</v>
      </c>
      <c r="AB8" s="968">
        <v>15</v>
      </c>
      <c r="AC8" s="968">
        <v>30</v>
      </c>
      <c r="AD8" s="968">
        <v>50</v>
      </c>
      <c r="AE8" s="968">
        <v>70</v>
      </c>
      <c r="AG8" s="126" t="s">
        <v>2591</v>
      </c>
    </row>
    <row r="9" spans="1:50" ht="36" customHeight="1">
      <c r="A9" s="975"/>
      <c r="B9" s="976"/>
      <c r="C9" s="977"/>
      <c r="D9" s="971"/>
      <c r="E9" s="971"/>
      <c r="F9" s="971"/>
      <c r="G9" s="971"/>
      <c r="H9" s="971"/>
      <c r="I9" s="971"/>
      <c r="J9" s="971"/>
      <c r="K9" s="969"/>
      <c r="L9" s="969"/>
      <c r="M9" s="971"/>
      <c r="N9" s="969"/>
      <c r="O9" s="969"/>
      <c r="P9" s="971"/>
      <c r="Q9" s="971"/>
      <c r="R9" s="969"/>
      <c r="S9" s="969"/>
      <c r="T9" s="969"/>
      <c r="U9" s="969"/>
      <c r="V9" s="969"/>
      <c r="W9" s="969"/>
      <c r="X9" s="969"/>
      <c r="Y9" s="971"/>
      <c r="Z9" s="969"/>
      <c r="AA9" s="969"/>
      <c r="AB9" s="969"/>
      <c r="AC9" s="969"/>
      <c r="AD9" s="969"/>
      <c r="AE9" s="969"/>
      <c r="AG9" s="163">
        <v>2</v>
      </c>
    </row>
    <row r="10" spans="1:50" ht="32.25" customHeight="1">
      <c r="A10" s="150" t="str">
        <f>IF(Главная!$P$9="Дол.",AX10,IF(Главная!$P$9="Гривен.",AP10,IF(Главная!$P$9="рублейлей.",AI10,AP10)))</f>
        <v>Авдеевка</v>
      </c>
      <c r="B10" s="150">
        <v>6307423</v>
      </c>
      <c r="C10" s="149"/>
      <c r="D10" s="147"/>
      <c r="E10" s="147">
        <v>290</v>
      </c>
      <c r="F10" s="147">
        <v>300</v>
      </c>
      <c r="G10" s="147">
        <v>310</v>
      </c>
      <c r="H10" s="147">
        <v>320</v>
      </c>
      <c r="I10" s="147">
        <v>330</v>
      </c>
      <c r="J10" s="147">
        <v>8.1999999999999993</v>
      </c>
      <c r="K10" s="162">
        <f>IF(Главная!$P$9="Дол.",AY10,IF(Главная!$P$9="гривен.",AQ10,IF(Главная!$P$9="рублей.",AJ10,AQ10)))</f>
        <v>1.86</v>
      </c>
      <c r="L10" s="162">
        <f>IF(Главная!$P$9="Дол.",AZ10,IF(Главная!$P$9="гривен.",AR10,IF(Главная!$P$9="рублей.",AK10,AR10)))</f>
        <v>1.86</v>
      </c>
      <c r="M10" s="162">
        <f>IF(Главная!$P$9="Дол.",BA10,IF(Главная!$P$9="гривен.",AS10,IF(Главная!$P$9="рублей.",AL10,AS10)))</f>
        <v>1.86</v>
      </c>
      <c r="N10" s="162">
        <f>IF(Главная!$P$9="Дол.",BB10,IF(Главная!$P$9="гривен.",AT10,IF(Главная!$P$9="рублей.",AM10,AT10)))</f>
        <v>1.86</v>
      </c>
      <c r="O10" s="162">
        <f>IF(Главная!$P$9="Дол.",BC10,IF(Главная!$P$9="гривен.",AU10,IF(Главная!$P$9="рублей.",AN10,AU10)))</f>
        <v>1.86</v>
      </c>
      <c r="P10" s="148">
        <v>6.6</v>
      </c>
      <c r="Q10" s="148">
        <v>6.4</v>
      </c>
      <c r="R10" s="148">
        <v>6.2</v>
      </c>
      <c r="S10" s="148">
        <v>6</v>
      </c>
      <c r="T10" s="148">
        <v>5.8</v>
      </c>
      <c r="U10" s="147">
        <v>5.6</v>
      </c>
      <c r="V10" s="147">
        <v>5.5</v>
      </c>
      <c r="W10" s="147">
        <v>1900</v>
      </c>
      <c r="X10" s="147">
        <v>1800</v>
      </c>
      <c r="Y10" s="147">
        <v>1750</v>
      </c>
      <c r="Z10" s="147">
        <v>1700</v>
      </c>
      <c r="AA10" s="147">
        <v>1600</v>
      </c>
      <c r="AB10" s="147">
        <v>1500</v>
      </c>
      <c r="AC10" s="147">
        <v>1450</v>
      </c>
      <c r="AD10" s="147">
        <v>1400</v>
      </c>
      <c r="AE10" s="147">
        <v>1300</v>
      </c>
      <c r="AG10" s="126" t="b">
        <v>0</v>
      </c>
      <c r="AI10" s="150" t="s">
        <v>1962</v>
      </c>
      <c r="AJ10" s="148">
        <v>8</v>
      </c>
      <c r="AK10" s="148">
        <v>7.8</v>
      </c>
      <c r="AL10" s="148">
        <v>7.4</v>
      </c>
      <c r="AM10" s="148">
        <v>7.2</v>
      </c>
      <c r="AN10" s="148">
        <v>6.8</v>
      </c>
      <c r="AP10" s="144" t="s">
        <v>2507</v>
      </c>
      <c r="AQ10" s="141">
        <v>1.86</v>
      </c>
      <c r="AR10" s="141">
        <v>1.86</v>
      </c>
      <c r="AS10" s="141">
        <v>1.86</v>
      </c>
      <c r="AT10" s="141">
        <v>1.86</v>
      </c>
      <c r="AU10" s="141">
        <v>1.86</v>
      </c>
      <c r="AV10" s="141">
        <v>1.86</v>
      </c>
      <c r="AW10" s="141">
        <v>1.86</v>
      </c>
      <c r="AX10" s="126" t="s">
        <v>2583</v>
      </c>
    </row>
    <row r="11" spans="1:50" ht="14.5">
      <c r="A11" s="150" t="str">
        <f>IF(Главная!$P$9="Дол.",AX11,IF(Главная!$P$9="гривен.",AP11,IF(Главная!$P$9="рублей.",AI11,AP11)))</f>
        <v xml:space="preserve">Акимовка </v>
      </c>
      <c r="B11" s="150">
        <v>6489590</v>
      </c>
      <c r="C11" s="149"/>
      <c r="D11" s="147"/>
      <c r="E11" s="147">
        <v>600</v>
      </c>
      <c r="F11" s="147">
        <v>800</v>
      </c>
      <c r="G11" s="147">
        <v>1000</v>
      </c>
      <c r="H11" s="147">
        <v>1300</v>
      </c>
      <c r="I11" s="147">
        <v>1330</v>
      </c>
      <c r="J11" s="147">
        <v>33.200000000000003</v>
      </c>
      <c r="K11" s="162">
        <f>IF(Главная!$P$9="Дол.",AY11,IF(Главная!$P$9="гривен.",AQ11,IF(Главная!$P$9="рублей.",AJ11,AQ11)))</f>
        <v>1.74</v>
      </c>
      <c r="L11" s="162">
        <f>IF(Главная!$P$9="Дол.",AZ11,IF(Главная!$P$9="гривен.",AR11,IF(Главная!$P$9="рублей.",AK11,AR11)))</f>
        <v>1.74</v>
      </c>
      <c r="M11" s="162">
        <f>IF(Главная!$P$9="Дол.",BA11,IF(Главная!$P$9="гривен.",AS11,IF(Главная!$P$9="рублей.",AL11,AS11)))</f>
        <v>1.74</v>
      </c>
      <c r="N11" s="162">
        <f>IF(Главная!$P$9="Дол.",BB11,IF(Главная!$P$9="гривен.",AT11,IF(Главная!$P$9="рублей.",AM11,AT11)))</f>
        <v>1.74</v>
      </c>
      <c r="O11" s="162">
        <f>IF(Главная!$P$9="Дол.",BC11,IF(Главная!$P$9="гривен.",AU11,IF(Главная!$P$9="рублей.",AN11,AU11)))</f>
        <v>1.74</v>
      </c>
      <c r="P11" s="148">
        <v>25.6</v>
      </c>
      <c r="Q11" s="148">
        <v>25.1</v>
      </c>
      <c r="R11" s="148">
        <v>24.6</v>
      </c>
      <c r="S11" s="148">
        <v>24.1</v>
      </c>
      <c r="T11" s="148">
        <v>23.4</v>
      </c>
      <c r="U11" s="147">
        <v>22.7</v>
      </c>
      <c r="V11" s="147">
        <v>22</v>
      </c>
      <c r="W11" s="147">
        <v>6700</v>
      </c>
      <c r="X11" s="147">
        <v>6500</v>
      </c>
      <c r="Y11" s="147">
        <v>6200</v>
      </c>
      <c r="Z11" s="147">
        <v>5950</v>
      </c>
      <c r="AA11" s="147">
        <v>5700</v>
      </c>
      <c r="AB11" s="147">
        <v>5400</v>
      </c>
      <c r="AC11" s="147">
        <v>5190</v>
      </c>
      <c r="AD11" s="147">
        <v>5060</v>
      </c>
      <c r="AE11" s="147">
        <v>4900</v>
      </c>
      <c r="AI11" s="150" t="s">
        <v>2564</v>
      </c>
      <c r="AJ11" s="148">
        <v>29.8</v>
      </c>
      <c r="AK11" s="148">
        <v>28.9</v>
      </c>
      <c r="AL11" s="148">
        <v>28</v>
      </c>
      <c r="AM11" s="148">
        <v>27.1</v>
      </c>
      <c r="AN11" s="148">
        <v>26.2</v>
      </c>
      <c r="AP11" s="144" t="s">
        <v>2506</v>
      </c>
      <c r="AQ11" s="141">
        <v>1.74</v>
      </c>
      <c r="AR11" s="141">
        <v>1.74</v>
      </c>
      <c r="AS11" s="141">
        <v>1.74</v>
      </c>
      <c r="AT11" s="141">
        <v>1.74</v>
      </c>
      <c r="AU11" s="141">
        <v>1.74</v>
      </c>
      <c r="AV11" s="141">
        <v>1.74</v>
      </c>
      <c r="AW11" s="141">
        <v>1.74</v>
      </c>
      <c r="AX11" s="126" t="s">
        <v>2584</v>
      </c>
    </row>
    <row r="12" spans="1:50" ht="14.5">
      <c r="A12" s="150" t="str">
        <f>IF(Главная!$P$9="Дол.",AX12,IF(Главная!$P$9="гривен.",AP12,IF(Главная!$P$9="рублей.",AI12,AP12)))</f>
        <v>Александрия</v>
      </c>
      <c r="B12" s="150">
        <v>6489572</v>
      </c>
      <c r="C12" s="149"/>
      <c r="D12" s="147"/>
      <c r="E12" s="147">
        <v>600</v>
      </c>
      <c r="F12" s="147">
        <v>700</v>
      </c>
      <c r="G12" s="147">
        <v>710</v>
      </c>
      <c r="H12" s="147">
        <v>720</v>
      </c>
      <c r="I12" s="147">
        <v>730</v>
      </c>
      <c r="J12" s="147">
        <v>18.2</v>
      </c>
      <c r="K12" s="162">
        <f>IF(Главная!$P$9="Дол.",AY12,IF(Главная!$P$9="гривен.",AQ12,IF(Главная!$P$9="рублей.",AJ12,AQ12)))</f>
        <v>1.74</v>
      </c>
      <c r="L12" s="162">
        <f>IF(Главная!$P$9="Дол.",AZ12,IF(Главная!$P$9="гривен.",AR12,IF(Главная!$P$9="рублей.",AK12,AR12)))</f>
        <v>1.74</v>
      </c>
      <c r="M12" s="162">
        <f>IF(Главная!$P$9="Дол.",BA12,IF(Главная!$P$9="гривен.",AS12,IF(Главная!$P$9="рублей.",AL12,AS12)))</f>
        <v>1.74</v>
      </c>
      <c r="N12" s="162">
        <f>IF(Главная!$P$9="Дол.",BB12,IF(Главная!$P$9="гривен.",AT12,IF(Главная!$P$9="рублей.",AM12,AT12)))</f>
        <v>1.74</v>
      </c>
      <c r="O12" s="162">
        <f>IF(Главная!$P$9="Дол.",BC12,IF(Главная!$P$9="гривен.",AU12,IF(Главная!$P$9="рублей.",AN12,AU12)))</f>
        <v>1.74</v>
      </c>
      <c r="P12" s="148">
        <v>14.2</v>
      </c>
      <c r="Q12" s="148">
        <v>13.9</v>
      </c>
      <c r="R12" s="148">
        <v>13.6</v>
      </c>
      <c r="S12" s="148">
        <v>13.3</v>
      </c>
      <c r="T12" s="148">
        <v>12.9</v>
      </c>
      <c r="U12" s="147">
        <v>12.5</v>
      </c>
      <c r="V12" s="147">
        <v>12.1</v>
      </c>
      <c r="W12" s="147">
        <v>3800</v>
      </c>
      <c r="X12" s="147">
        <v>3700</v>
      </c>
      <c r="Y12" s="147">
        <v>3550</v>
      </c>
      <c r="Z12" s="147">
        <v>3400</v>
      </c>
      <c r="AA12" s="147">
        <v>3250</v>
      </c>
      <c r="AB12" s="147">
        <v>3100</v>
      </c>
      <c r="AC12" s="147">
        <v>2950</v>
      </c>
      <c r="AD12" s="147">
        <v>2880</v>
      </c>
      <c r="AE12" s="147">
        <v>2800</v>
      </c>
      <c r="AI12" s="150" t="s">
        <v>2563</v>
      </c>
      <c r="AJ12" s="148">
        <v>16.899999999999999</v>
      </c>
      <c r="AK12" s="148">
        <v>16.3</v>
      </c>
      <c r="AL12" s="148">
        <v>15.7</v>
      </c>
      <c r="AM12" s="148">
        <v>15.1</v>
      </c>
      <c r="AN12" s="148">
        <v>14.5</v>
      </c>
      <c r="AP12" s="144" t="s">
        <v>2505</v>
      </c>
      <c r="AQ12" s="141">
        <v>1.74</v>
      </c>
      <c r="AR12" s="141">
        <v>1.74</v>
      </c>
      <c r="AS12" s="141">
        <v>1.74</v>
      </c>
      <c r="AT12" s="141">
        <v>1.74</v>
      </c>
      <c r="AU12" s="141">
        <v>1.74</v>
      </c>
      <c r="AV12" s="141">
        <v>1.74</v>
      </c>
      <c r="AW12" s="141">
        <v>1.74</v>
      </c>
      <c r="AX12" s="126" t="s">
        <v>2585</v>
      </c>
    </row>
    <row r="13" spans="1:50" ht="14.5">
      <c r="A13" s="150" t="str">
        <f>IF(Главная!$P$9="Дол.",AX13,IF(Главная!$P$9="гривен.",AP13,IF(Главная!$P$9="рублей.",AI13,AP13)))</f>
        <v>Алушта</v>
      </c>
      <c r="B13" s="150">
        <v>6489567</v>
      </c>
      <c r="C13" s="149"/>
      <c r="D13" s="147"/>
      <c r="E13" s="147">
        <v>600</v>
      </c>
      <c r="F13" s="147">
        <v>800</v>
      </c>
      <c r="G13" s="147">
        <v>1000</v>
      </c>
      <c r="H13" s="147">
        <v>1080</v>
      </c>
      <c r="I13" s="147">
        <v>1090</v>
      </c>
      <c r="J13" s="147">
        <v>27.2</v>
      </c>
      <c r="K13" s="162">
        <f>IF(Главная!$P$9="Дол.",AY13,IF(Главная!$P$9="гривен.",AQ13,IF(Главная!$P$9="рублей.",AJ13,AQ13)))</f>
        <v>12</v>
      </c>
      <c r="L13" s="162">
        <f>IF(Главная!$P$9="Дол.",AZ13,IF(Главная!$P$9="гривен.",AR13,IF(Главная!$P$9="рублей.",AK13,AR13)))</f>
        <v>12</v>
      </c>
      <c r="M13" s="162">
        <f>IF(Главная!$P$9="Дол.",BA13,IF(Главная!$P$9="гривен.",AS13,IF(Главная!$P$9="рублей.",AL13,AS13)))</f>
        <v>12</v>
      </c>
      <c r="N13" s="162">
        <f>IF(Главная!$P$9="Дол.",BB13,IF(Главная!$P$9="гривен.",AT13,IF(Главная!$P$9="рублей.",AM13,AT13)))</f>
        <v>12</v>
      </c>
      <c r="O13" s="162">
        <f>IF(Главная!$P$9="Дол.",BC13,IF(Главная!$P$9="гривен.",AU13,IF(Главная!$P$9="рублей.",AN13,AU13)))</f>
        <v>12</v>
      </c>
      <c r="P13" s="148">
        <v>17.3</v>
      </c>
      <c r="Q13" s="148">
        <v>16.8</v>
      </c>
      <c r="R13" s="148">
        <v>16.2</v>
      </c>
      <c r="S13" s="148">
        <v>15.8</v>
      </c>
      <c r="T13" s="148">
        <v>15.2</v>
      </c>
      <c r="U13" s="147">
        <v>14.7</v>
      </c>
      <c r="V13" s="147">
        <v>14</v>
      </c>
      <c r="W13" s="147">
        <v>4700</v>
      </c>
      <c r="X13" s="147">
        <v>4600</v>
      </c>
      <c r="Y13" s="147">
        <v>4300</v>
      </c>
      <c r="Z13" s="147">
        <v>4100</v>
      </c>
      <c r="AA13" s="147">
        <v>3950</v>
      </c>
      <c r="AB13" s="147">
        <v>3800</v>
      </c>
      <c r="AC13" s="147">
        <v>3700</v>
      </c>
      <c r="AD13" s="147">
        <v>3650</v>
      </c>
      <c r="AE13" s="147">
        <v>3600</v>
      </c>
      <c r="AI13" s="150" t="s">
        <v>2562</v>
      </c>
      <c r="AJ13" s="148">
        <v>23.9</v>
      </c>
      <c r="AK13" s="148">
        <v>22.2</v>
      </c>
      <c r="AL13" s="148">
        <v>21</v>
      </c>
      <c r="AM13" s="148">
        <v>19.8</v>
      </c>
      <c r="AN13" s="148">
        <v>18.600000000000001</v>
      </c>
      <c r="AP13" s="144" t="s">
        <v>2504</v>
      </c>
      <c r="AQ13" s="141">
        <v>12</v>
      </c>
      <c r="AR13" s="141">
        <v>12</v>
      </c>
      <c r="AS13" s="141">
        <v>12</v>
      </c>
      <c r="AT13" s="141">
        <v>12</v>
      </c>
      <c r="AU13" s="141">
        <v>12</v>
      </c>
      <c r="AV13" s="141">
        <v>12</v>
      </c>
      <c r="AW13" s="141">
        <v>12</v>
      </c>
      <c r="AX13" s="126" t="s">
        <v>2586</v>
      </c>
    </row>
    <row r="14" spans="1:50" ht="14.5">
      <c r="A14" s="150" t="str">
        <f>IF(Главная!$P$9="Дол.",AX14,IF(Главная!$P$9="гривен.",AP14,IF(Главная!$P$9="рублей.",AI14,AP14)))</f>
        <v>Алчевск</v>
      </c>
      <c r="B14" s="150">
        <v>6308452</v>
      </c>
      <c r="C14" s="149"/>
      <c r="D14" s="147"/>
      <c r="E14" s="147">
        <v>300</v>
      </c>
      <c r="F14" s="147">
        <v>400</v>
      </c>
      <c r="G14" s="147">
        <v>420</v>
      </c>
      <c r="H14" s="147">
        <v>430</v>
      </c>
      <c r="I14" s="147">
        <v>440</v>
      </c>
      <c r="J14" s="147">
        <v>11</v>
      </c>
      <c r="K14" s="162">
        <f>IF(Главная!$P$9="Дол.",AY14,IF(Главная!$P$9="гривен.",AQ14,IF(Главная!$P$9="рублей.",AJ14,AQ14)))</f>
        <v>1.86</v>
      </c>
      <c r="L14" s="162">
        <f>IF(Главная!$P$9="Дол.",AZ14,IF(Главная!$P$9="гривен.",AR14,IF(Главная!$P$9="рублей.",AK14,AR14)))</f>
        <v>1.86</v>
      </c>
      <c r="M14" s="162">
        <f>IF(Главная!$P$9="Дол.",BA14,IF(Главная!$P$9="гривен.",AS14,IF(Главная!$P$9="рублей.",AL14,AS14)))</f>
        <v>1.86</v>
      </c>
      <c r="N14" s="162">
        <f>IF(Главная!$P$9="Дол.",BB14,IF(Главная!$P$9="гривен.",AT14,IF(Главная!$P$9="рублей.",AM14,AT14)))</f>
        <v>1.86</v>
      </c>
      <c r="O14" s="162">
        <f>IF(Главная!$P$9="Дол.",BC14,IF(Главная!$P$9="гривен.",AU14,IF(Главная!$P$9="рублей.",AN14,AU14)))</f>
        <v>1.86</v>
      </c>
      <c r="P14" s="148">
        <v>10</v>
      </c>
      <c r="Q14" s="148">
        <v>9.8000000000000007</v>
      </c>
      <c r="R14" s="148">
        <v>9.6</v>
      </c>
      <c r="S14" s="148">
        <v>9.4</v>
      </c>
      <c r="T14" s="148">
        <v>9.1999999999999993</v>
      </c>
      <c r="U14" s="147">
        <v>9</v>
      </c>
      <c r="V14" s="147">
        <v>8.8000000000000007</v>
      </c>
      <c r="W14" s="147">
        <v>2500</v>
      </c>
      <c r="X14" s="147">
        <v>2400</v>
      </c>
      <c r="Y14" s="147">
        <v>2300</v>
      </c>
      <c r="Z14" s="147">
        <v>2250</v>
      </c>
      <c r="AA14" s="147">
        <v>2200</v>
      </c>
      <c r="AB14" s="147">
        <v>2150</v>
      </c>
      <c r="AC14" s="147">
        <v>2100</v>
      </c>
      <c r="AD14" s="147">
        <v>2050</v>
      </c>
      <c r="AE14" s="147">
        <v>2000</v>
      </c>
      <c r="AI14" s="150" t="s">
        <v>2561</v>
      </c>
      <c r="AJ14" s="148">
        <v>11</v>
      </c>
      <c r="AK14" s="148">
        <v>10.8</v>
      </c>
      <c r="AL14" s="148">
        <v>10.6</v>
      </c>
      <c r="AM14" s="148">
        <v>10.4</v>
      </c>
      <c r="AN14" s="148">
        <v>10.199999999999999</v>
      </c>
      <c r="AP14" s="144" t="s">
        <v>2503</v>
      </c>
      <c r="AQ14" s="141">
        <v>1.86</v>
      </c>
      <c r="AR14" s="141">
        <v>1.86</v>
      </c>
      <c r="AS14" s="141">
        <v>1.86</v>
      </c>
      <c r="AT14" s="141">
        <v>1.86</v>
      </c>
      <c r="AU14" s="141">
        <v>1.86</v>
      </c>
      <c r="AV14" s="141">
        <v>1.86</v>
      </c>
      <c r="AW14" s="141">
        <v>1.86</v>
      </c>
      <c r="AX14" s="126" t="s">
        <v>2587</v>
      </c>
    </row>
    <row r="15" spans="1:50" ht="21">
      <c r="A15" s="150" t="str">
        <f>IF(Главная!$P$9="Дол.",AX15,IF(Главная!$P$9="гривен.",AP15,IF(Главная!$P$9="рублей.",AI15,AP15)))</f>
        <v>Амвросиевка</v>
      </c>
      <c r="B15" s="150">
        <v>6308057</v>
      </c>
      <c r="C15" s="151" t="s">
        <v>2513</v>
      </c>
      <c r="D15" s="147"/>
      <c r="E15" s="147">
        <v>300</v>
      </c>
      <c r="F15" s="147">
        <v>400</v>
      </c>
      <c r="G15" s="147">
        <v>560</v>
      </c>
      <c r="H15" s="147">
        <v>570</v>
      </c>
      <c r="I15" s="147">
        <v>580</v>
      </c>
      <c r="J15" s="147">
        <v>14.5</v>
      </c>
      <c r="K15" s="162">
        <f>IF(Главная!$P$9="Дол.",AY15,IF(Главная!$P$9="гривен.",AQ15,IF(Главная!$P$9="рублей.",AJ15,AQ15)))</f>
        <v>2.23</v>
      </c>
      <c r="L15" s="162">
        <f>IF(Главная!$P$9="Дол.",AZ15,IF(Главная!$P$9="гривен.",AR15,IF(Главная!$P$9="рублей.",AK15,AR15)))</f>
        <v>2.23</v>
      </c>
      <c r="M15" s="162">
        <f>IF(Главная!$P$9="Дол.",BA15,IF(Главная!$P$9="гривен.",AS15,IF(Главная!$P$9="рублей.",AL15,AS15)))</f>
        <v>2.23</v>
      </c>
      <c r="N15" s="162">
        <f>IF(Главная!$P$9="Дол.",BB15,IF(Главная!$P$9="гривен.",AT15,IF(Главная!$P$9="рублей.",AM15,AT15)))</f>
        <v>2.23</v>
      </c>
      <c r="O15" s="162">
        <f>IF(Главная!$P$9="Дол.",BC15,IF(Главная!$P$9="гривен.",AU15,IF(Главная!$P$9="рублей.",AN15,AU15)))</f>
        <v>2.23</v>
      </c>
      <c r="P15" s="148">
        <v>13.4</v>
      </c>
      <c r="Q15" s="148">
        <v>13.2</v>
      </c>
      <c r="R15" s="148">
        <v>12.8</v>
      </c>
      <c r="S15" s="148">
        <v>12.6</v>
      </c>
      <c r="T15" s="148">
        <v>12.4</v>
      </c>
      <c r="U15" s="147">
        <v>12.2</v>
      </c>
      <c r="V15" s="147">
        <v>12</v>
      </c>
      <c r="W15" s="147">
        <v>3400</v>
      </c>
      <c r="X15" s="147">
        <v>3300</v>
      </c>
      <c r="Y15" s="147">
        <v>3200</v>
      </c>
      <c r="Z15" s="147">
        <v>3100</v>
      </c>
      <c r="AA15" s="147">
        <v>3050</v>
      </c>
      <c r="AB15" s="147">
        <v>3000</v>
      </c>
      <c r="AC15" s="147">
        <v>2900</v>
      </c>
      <c r="AD15" s="147">
        <v>2850</v>
      </c>
      <c r="AE15" s="147">
        <v>2800</v>
      </c>
      <c r="AI15" s="150" t="s">
        <v>1893</v>
      </c>
      <c r="AJ15" s="148">
        <v>14.5</v>
      </c>
      <c r="AK15" s="148">
        <v>14</v>
      </c>
      <c r="AL15" s="148">
        <v>13.9</v>
      </c>
      <c r="AM15" s="148">
        <v>13.8</v>
      </c>
      <c r="AN15" s="148">
        <v>13.6</v>
      </c>
      <c r="AP15" s="144" t="s">
        <v>2502</v>
      </c>
      <c r="AQ15" s="141">
        <v>2.23</v>
      </c>
      <c r="AR15" s="141">
        <v>2.23</v>
      </c>
      <c r="AS15" s="141">
        <v>2.23</v>
      </c>
      <c r="AT15" s="141">
        <v>2.23</v>
      </c>
      <c r="AU15" s="141">
        <v>2.23</v>
      </c>
      <c r="AV15" s="141">
        <v>2.23</v>
      </c>
      <c r="AW15" s="141">
        <v>2.23</v>
      </c>
      <c r="AX15" s="126" t="s">
        <v>2588</v>
      </c>
    </row>
    <row r="16" spans="1:50" ht="14.5">
      <c r="A16" s="150" t="str">
        <f>IF(Главная!$P$9="Дол.",AX16,IF(Главная!$P$9="гривен.",AP16,IF(Главная!$P$9="рублей.",AI16,AP16)))</f>
        <v>Ананьев</v>
      </c>
      <c r="B16" s="150">
        <v>6489566</v>
      </c>
      <c r="C16" s="149"/>
      <c r="D16" s="147"/>
      <c r="E16" s="147">
        <v>600</v>
      </c>
      <c r="F16" s="147">
        <v>660</v>
      </c>
      <c r="G16" s="147">
        <v>670</v>
      </c>
      <c r="H16" s="147">
        <v>680</v>
      </c>
      <c r="I16" s="147">
        <v>690</v>
      </c>
      <c r="J16" s="147">
        <v>17.2</v>
      </c>
      <c r="K16" s="162">
        <f>IF(Главная!$P$9="Дол.",AY16,IF(Главная!$P$9="гривен.",AQ16,IF(Главная!$P$9="рублей.",AJ16,AQ16)))</f>
        <v>2.12</v>
      </c>
      <c r="L16" s="162">
        <f>IF(Главная!$P$9="Дол.",AZ16,IF(Главная!$P$9="гривен.",AR16,IF(Главная!$P$9="рублей.",AK16,AR16)))</f>
        <v>2.12</v>
      </c>
      <c r="M16" s="162">
        <f>IF(Главная!$P$9="Дол.",BA16,IF(Главная!$P$9="гривен.",AS16,IF(Главная!$P$9="рублей.",AL16,AS16)))</f>
        <v>2.12</v>
      </c>
      <c r="N16" s="162">
        <f>IF(Главная!$P$9="Дол.",BB16,IF(Главная!$P$9="гривен.",AT16,IF(Главная!$P$9="рублей.",AM16,AT16)))</f>
        <v>2.12</v>
      </c>
      <c r="O16" s="162">
        <f>IF(Главная!$P$9="Дол.",BC16,IF(Главная!$P$9="гривен.",AU16,IF(Главная!$P$9="рублей.",AN16,AU16)))</f>
        <v>2.12</v>
      </c>
      <c r="P16" s="148">
        <v>10.3</v>
      </c>
      <c r="Q16" s="148">
        <v>9.9</v>
      </c>
      <c r="R16" s="148">
        <v>9.4</v>
      </c>
      <c r="S16" s="148">
        <v>9.1</v>
      </c>
      <c r="T16" s="148">
        <v>8.6999999999999993</v>
      </c>
      <c r="U16" s="147">
        <v>8.4</v>
      </c>
      <c r="V16" s="147">
        <v>8</v>
      </c>
      <c r="W16" s="147">
        <v>2950</v>
      </c>
      <c r="X16" s="147">
        <v>2850</v>
      </c>
      <c r="Y16" s="147">
        <v>2600</v>
      </c>
      <c r="Z16" s="147">
        <v>2450</v>
      </c>
      <c r="AA16" s="147">
        <v>2350</v>
      </c>
      <c r="AB16" s="147">
        <v>2250</v>
      </c>
      <c r="AC16" s="147">
        <v>2150</v>
      </c>
      <c r="AD16" s="147">
        <v>2100</v>
      </c>
      <c r="AE16" s="147">
        <v>2050</v>
      </c>
      <c r="AI16" s="150" t="s">
        <v>2560</v>
      </c>
      <c r="AJ16" s="148">
        <v>14.4</v>
      </c>
      <c r="AK16" s="148">
        <v>13.2</v>
      </c>
      <c r="AL16" s="148">
        <v>12.5</v>
      </c>
      <c r="AM16" s="148">
        <v>11.8</v>
      </c>
      <c r="AN16" s="148">
        <v>11.1</v>
      </c>
      <c r="AP16" s="144" t="s">
        <v>2501</v>
      </c>
      <c r="AQ16" s="141">
        <v>2.12</v>
      </c>
      <c r="AR16" s="141">
        <v>2.12</v>
      </c>
      <c r="AS16" s="141">
        <v>2.12</v>
      </c>
      <c r="AT16" s="141">
        <v>2.12</v>
      </c>
      <c r="AU16" s="141">
        <v>2.12</v>
      </c>
      <c r="AV16" s="141">
        <v>2.12</v>
      </c>
      <c r="AW16" s="141">
        <v>2.12</v>
      </c>
      <c r="AX16" s="126" t="s">
        <v>2589</v>
      </c>
    </row>
    <row r="17" spans="1:50" ht="14.5">
      <c r="A17" s="150" t="str">
        <f>IF(Главная!$P$9="Дол.",AX17,IF(Главная!$P$9="гривен.",AP17,IF(Главная!$P$9="рублей.",AI17,AP17)))</f>
        <v>Антрацит</v>
      </c>
      <c r="B17" s="150">
        <v>6308070</v>
      </c>
      <c r="C17" s="151" t="s">
        <v>2513</v>
      </c>
      <c r="D17" s="147"/>
      <c r="E17" s="147">
        <v>300</v>
      </c>
      <c r="F17" s="147">
        <v>370</v>
      </c>
      <c r="G17" s="147">
        <v>380</v>
      </c>
      <c r="H17" s="147">
        <v>390</v>
      </c>
      <c r="I17" s="147">
        <v>400</v>
      </c>
      <c r="J17" s="147">
        <v>10</v>
      </c>
      <c r="K17" s="162">
        <f>IF(Главная!$P$9="Дол.",AY17,IF(Главная!$P$9="гривен.",AQ17,IF(Главная!$P$9="рублей.",AJ17,AQ17)))</f>
        <v>2.23</v>
      </c>
      <c r="L17" s="162">
        <f>IF(Главная!$P$9="Дол.",AZ17,IF(Главная!$P$9="гривен.",AR17,IF(Главная!$P$9="рублей.",AK17,AR17)))</f>
        <v>2.23</v>
      </c>
      <c r="M17" s="162">
        <f>IF(Главная!$P$9="Дол.",BA17,IF(Главная!$P$9="гривен.",AS17,IF(Главная!$P$9="рублей.",AL17,AS17)))</f>
        <v>2.23</v>
      </c>
      <c r="N17" s="162">
        <f>IF(Главная!$P$9="Дол.",BB17,IF(Главная!$P$9="гривен.",AT17,IF(Главная!$P$9="рублей.",AM17,AT17)))</f>
        <v>2.23</v>
      </c>
      <c r="O17" s="162">
        <f>IF(Главная!$P$9="Дол.",BC17,IF(Главная!$P$9="гривен.",AU17,IF(Главная!$P$9="рублей.",AN17,AU17)))</f>
        <v>2.23</v>
      </c>
      <c r="P17" s="148">
        <v>9.4</v>
      </c>
      <c r="Q17" s="148">
        <v>9.3000000000000007</v>
      </c>
      <c r="R17" s="148">
        <v>9.1999999999999993</v>
      </c>
      <c r="S17" s="148">
        <v>9.1</v>
      </c>
      <c r="T17" s="148">
        <v>9</v>
      </c>
      <c r="U17" s="147">
        <v>8.9</v>
      </c>
      <c r="V17" s="147">
        <v>8.8000000000000007</v>
      </c>
      <c r="W17" s="147">
        <v>2600</v>
      </c>
      <c r="X17" s="147">
        <v>2550</v>
      </c>
      <c r="Y17" s="147">
        <v>2500</v>
      </c>
      <c r="Z17" s="147">
        <v>2450</v>
      </c>
      <c r="AA17" s="147">
        <v>2400</v>
      </c>
      <c r="AB17" s="147">
        <v>2350</v>
      </c>
      <c r="AC17" s="147">
        <v>2300</v>
      </c>
      <c r="AD17" s="147">
        <v>2250</v>
      </c>
      <c r="AE17" s="147">
        <v>2200</v>
      </c>
      <c r="AI17" s="150" t="s">
        <v>1880</v>
      </c>
      <c r="AJ17" s="148">
        <v>9.9</v>
      </c>
      <c r="AK17" s="148">
        <v>9.8000000000000007</v>
      </c>
      <c r="AL17" s="148">
        <v>9.6999999999999993</v>
      </c>
      <c r="AM17" s="148">
        <v>9.6</v>
      </c>
      <c r="AN17" s="148">
        <v>9.5</v>
      </c>
      <c r="AP17" s="144" t="s">
        <v>2500</v>
      </c>
      <c r="AQ17" s="141">
        <v>2.23</v>
      </c>
      <c r="AR17" s="141">
        <v>2.23</v>
      </c>
      <c r="AS17" s="141">
        <v>2.23</v>
      </c>
      <c r="AT17" s="141">
        <v>2.23</v>
      </c>
      <c r="AU17" s="141">
        <v>2.23</v>
      </c>
      <c r="AV17" s="141">
        <v>2.23</v>
      </c>
      <c r="AW17" s="141">
        <v>2.23</v>
      </c>
      <c r="AX17" s="126" t="s">
        <v>2590</v>
      </c>
    </row>
    <row r="18" spans="1:50" ht="14.5">
      <c r="A18" s="150" t="str">
        <f>IF(Главная!$P$9="Дол.",AX18,IF(Главная!$P$9="гривен.",AP18,IF(Главная!$P$9="рублей.",AI18,AP18)))</f>
        <v>Апостолово</v>
      </c>
      <c r="B18" s="150">
        <v>6379661</v>
      </c>
      <c r="C18" s="149"/>
      <c r="D18" s="147">
        <v>980</v>
      </c>
      <c r="E18" s="147"/>
      <c r="F18" s="147"/>
      <c r="G18" s="147"/>
      <c r="H18" s="147"/>
      <c r="I18" s="147"/>
      <c r="J18" s="147"/>
      <c r="K18" s="162">
        <f>IF(Главная!$P$9="Дол.",AY18,IF(Главная!$P$9="гривен.",AQ18,IF(Главная!$P$9="рублей.",AJ18,AQ18)))</f>
        <v>1.86</v>
      </c>
      <c r="L18" s="162">
        <f>IF(Главная!$P$9="Дол.",AZ18,IF(Главная!$P$9="гривен.",AR18,IF(Главная!$P$9="рублей.",AK18,AR18)))</f>
        <v>1.86</v>
      </c>
      <c r="M18" s="162">
        <f>IF(Главная!$P$9="Дол.",BA18,IF(Главная!$P$9="гривен.",AS18,IF(Главная!$P$9="рублей.",AL18,AS18)))</f>
        <v>1.86</v>
      </c>
      <c r="N18" s="162">
        <f>IF(Главная!$P$9="Дол.",BB18,IF(Главная!$P$9="гривен.",AT18,IF(Главная!$P$9="рублей.",AM18,AT18)))</f>
        <v>1.86</v>
      </c>
      <c r="O18" s="162">
        <f>IF(Главная!$P$9="Дол.",BC18,IF(Главная!$P$9="гривен.",AU18,IF(Главная!$P$9="рублей.",AN18,AU18)))</f>
        <v>1.86</v>
      </c>
      <c r="P18" s="148">
        <v>0.8</v>
      </c>
      <c r="Q18" s="148">
        <v>0.6</v>
      </c>
      <c r="R18" s="148">
        <v>0.5</v>
      </c>
      <c r="S18" s="148">
        <v>0.5</v>
      </c>
      <c r="T18" s="148">
        <v>0.4</v>
      </c>
      <c r="U18" s="147">
        <v>0.3</v>
      </c>
      <c r="V18" s="147">
        <v>0.3</v>
      </c>
      <c r="W18" s="147"/>
      <c r="X18" s="147">
        <v>310</v>
      </c>
      <c r="Y18" s="147">
        <v>280</v>
      </c>
      <c r="Z18" s="147">
        <v>180</v>
      </c>
      <c r="AA18" s="147">
        <v>160</v>
      </c>
      <c r="AB18" s="147">
        <v>140</v>
      </c>
      <c r="AC18" s="147">
        <v>110</v>
      </c>
      <c r="AD18" s="147">
        <v>80</v>
      </c>
      <c r="AE18" s="147">
        <v>70</v>
      </c>
      <c r="AI18" s="150" t="s">
        <v>2559</v>
      </c>
      <c r="AJ18" s="148"/>
      <c r="AK18" s="148">
        <v>1.6</v>
      </c>
      <c r="AL18" s="148">
        <v>1.2</v>
      </c>
      <c r="AM18" s="148">
        <v>1.1000000000000001</v>
      </c>
      <c r="AN18" s="148">
        <v>1</v>
      </c>
      <c r="AP18" s="144" t="s">
        <v>2499</v>
      </c>
      <c r="AQ18" s="141">
        <v>1.86</v>
      </c>
      <c r="AR18" s="141">
        <v>1.86</v>
      </c>
      <c r="AS18" s="141">
        <v>1.86</v>
      </c>
      <c r="AT18" s="141">
        <v>1.86</v>
      </c>
      <c r="AU18" s="141">
        <v>1.86</v>
      </c>
      <c r="AV18" s="141">
        <v>1.86</v>
      </c>
      <c r="AW18" s="141">
        <v>1.86</v>
      </c>
      <c r="AX18" s="126" t="s">
        <v>2583</v>
      </c>
    </row>
    <row r="19" spans="1:50" ht="14.5">
      <c r="A19" s="150" t="str">
        <f>IF(Главная!$P$9="Дол.",AX19,IF(Главная!$P$9="гривен.",AP19,IF(Главная!$P$9="рублей.",AI19,AP19)))</f>
        <v>Армянск</v>
      </c>
      <c r="B19" s="150">
        <v>6489576</v>
      </c>
      <c r="C19" s="149"/>
      <c r="D19" s="147"/>
      <c r="E19" s="147">
        <v>600</v>
      </c>
      <c r="F19" s="147">
        <v>800</v>
      </c>
      <c r="G19" s="147">
        <v>1000</v>
      </c>
      <c r="H19" s="147">
        <v>1120</v>
      </c>
      <c r="I19" s="147">
        <v>1130</v>
      </c>
      <c r="J19" s="147">
        <v>28.2</v>
      </c>
      <c r="K19" s="162">
        <f>IF(Главная!$P$9="Дол.",AY19,IF(Главная!$P$9="гривен.",AQ19,IF(Главная!$P$9="рублей.",AJ19,AQ19)))</f>
        <v>12</v>
      </c>
      <c r="L19" s="162">
        <f>IF(Главная!$P$9="Дол.",AZ19,IF(Главная!$P$9="гривен.",AR19,IF(Главная!$P$9="рублей.",AK19,AR19)))</f>
        <v>12</v>
      </c>
      <c r="M19" s="162">
        <f>IF(Главная!$P$9="Дол.",BA19,IF(Главная!$P$9="гривен.",AS19,IF(Главная!$P$9="рублей.",AL19,AS19)))</f>
        <v>12</v>
      </c>
      <c r="N19" s="162">
        <f>IF(Главная!$P$9="Дол.",BB19,IF(Главная!$P$9="гривен.",AT19,IF(Главная!$P$9="рублей.",AM19,AT19)))</f>
        <v>12</v>
      </c>
      <c r="O19" s="162">
        <f>IF(Главная!$P$9="Дол.",BC19,IF(Главная!$P$9="гривен.",AU19,IF(Главная!$P$9="рублей.",AN19,AU19)))</f>
        <v>12</v>
      </c>
      <c r="P19" s="148">
        <v>21.2</v>
      </c>
      <c r="Q19" s="148">
        <v>20.8</v>
      </c>
      <c r="R19" s="148">
        <v>20.399999999999999</v>
      </c>
      <c r="S19" s="148">
        <v>20</v>
      </c>
      <c r="T19" s="148">
        <v>19.399999999999999</v>
      </c>
      <c r="U19" s="147">
        <v>18.8</v>
      </c>
      <c r="V19" s="147">
        <v>18.100000000000001</v>
      </c>
      <c r="W19" s="147">
        <v>5550</v>
      </c>
      <c r="X19" s="147">
        <v>5450</v>
      </c>
      <c r="Y19" s="147">
        <v>5250</v>
      </c>
      <c r="Z19" s="147">
        <v>5050</v>
      </c>
      <c r="AA19" s="147">
        <v>4850</v>
      </c>
      <c r="AB19" s="147">
        <v>4650</v>
      </c>
      <c r="AC19" s="147">
        <v>4500</v>
      </c>
      <c r="AD19" s="147">
        <v>4430</v>
      </c>
      <c r="AE19" s="147">
        <v>4350</v>
      </c>
      <c r="AI19" s="150" t="s">
        <v>2558</v>
      </c>
      <c r="AJ19" s="148">
        <v>26.4</v>
      </c>
      <c r="AK19" s="148">
        <v>25.3</v>
      </c>
      <c r="AL19" s="148">
        <v>24.2</v>
      </c>
      <c r="AM19" s="148">
        <v>23.1</v>
      </c>
      <c r="AN19" s="148">
        <v>22</v>
      </c>
      <c r="AP19" s="144" t="s">
        <v>2498</v>
      </c>
      <c r="AQ19" s="141">
        <v>12</v>
      </c>
      <c r="AR19" s="141">
        <v>12</v>
      </c>
      <c r="AS19" s="141">
        <v>12</v>
      </c>
      <c r="AT19" s="141">
        <v>12</v>
      </c>
      <c r="AU19" s="141">
        <v>12</v>
      </c>
      <c r="AV19" s="141">
        <v>12</v>
      </c>
      <c r="AW19" s="141">
        <v>12</v>
      </c>
      <c r="AX19" s="126" t="s">
        <v>2584</v>
      </c>
    </row>
    <row r="20" spans="1:50" ht="14.5">
      <c r="A20" s="150" t="str">
        <f>IF(Главная!$P$9="Дол.",AX20,IF(Главная!$P$9="гривен.",AP20,IF(Главная!$P$9="рублей.",AI20,AP20)))</f>
        <v>Артемовск</v>
      </c>
      <c r="B20" s="150">
        <v>6307499</v>
      </c>
      <c r="C20" s="149"/>
      <c r="D20" s="147"/>
      <c r="E20" s="147">
        <v>290</v>
      </c>
      <c r="F20" s="147">
        <v>300</v>
      </c>
      <c r="G20" s="147">
        <v>310</v>
      </c>
      <c r="H20" s="147">
        <v>320</v>
      </c>
      <c r="I20" s="147">
        <v>330</v>
      </c>
      <c r="J20" s="147">
        <v>8.1999999999999993</v>
      </c>
      <c r="K20" s="162">
        <f>IF(Главная!$P$9="Дол.",AY20,IF(Главная!$P$9="гривен.",AQ20,IF(Главная!$P$9="рублей.",AJ20,AQ20)))</f>
        <v>2.95</v>
      </c>
      <c r="L20" s="162">
        <f>IF(Главная!$P$9="Дол.",AZ20,IF(Главная!$P$9="гривен.",AR20,IF(Главная!$P$9="рублей.",AK20,AR20)))</f>
        <v>2.95</v>
      </c>
      <c r="M20" s="162">
        <f>IF(Главная!$P$9="Дол.",BA20,IF(Главная!$P$9="гривен.",AS20,IF(Главная!$P$9="рублей.",AL20,AS20)))</f>
        <v>2.95</v>
      </c>
      <c r="N20" s="162">
        <f>IF(Главная!$P$9="Дол.",BB20,IF(Главная!$P$9="гривен.",AT20,IF(Главная!$P$9="рублей.",AM20,AT20)))</f>
        <v>2.95</v>
      </c>
      <c r="O20" s="162">
        <f>IF(Главная!$P$9="Дол.",BC20,IF(Главная!$P$9="гривен.",AU20,IF(Главная!$P$9="рублей.",AN20,AU20)))</f>
        <v>2.95</v>
      </c>
      <c r="P20" s="148">
        <v>6.6</v>
      </c>
      <c r="Q20" s="148">
        <v>6.4</v>
      </c>
      <c r="R20" s="148">
        <v>6.2</v>
      </c>
      <c r="S20" s="148">
        <v>6</v>
      </c>
      <c r="T20" s="148">
        <v>5.8</v>
      </c>
      <c r="U20" s="147">
        <v>5.6</v>
      </c>
      <c r="V20" s="147">
        <v>5.5</v>
      </c>
      <c r="W20" s="147">
        <v>1900</v>
      </c>
      <c r="X20" s="147">
        <v>1800</v>
      </c>
      <c r="Y20" s="147">
        <v>1750</v>
      </c>
      <c r="Z20" s="147">
        <v>1700</v>
      </c>
      <c r="AA20" s="147">
        <v>1600</v>
      </c>
      <c r="AB20" s="147">
        <v>1500</v>
      </c>
      <c r="AC20" s="147">
        <v>1450</v>
      </c>
      <c r="AD20" s="147">
        <v>1400</v>
      </c>
      <c r="AE20" s="147">
        <v>1300</v>
      </c>
      <c r="AI20" s="150" t="s">
        <v>1868</v>
      </c>
      <c r="AJ20" s="148">
        <v>8</v>
      </c>
      <c r="AK20" s="148">
        <v>7.8</v>
      </c>
      <c r="AL20" s="148">
        <v>7.4</v>
      </c>
      <c r="AM20" s="148">
        <v>7.2</v>
      </c>
      <c r="AN20" s="148">
        <v>6.8</v>
      </c>
      <c r="AP20" s="144" t="s">
        <v>2497</v>
      </c>
      <c r="AQ20" s="141">
        <v>2.95</v>
      </c>
      <c r="AR20" s="141">
        <v>2.95</v>
      </c>
      <c r="AS20" s="141">
        <v>2.95</v>
      </c>
      <c r="AT20" s="141">
        <v>2.95</v>
      </c>
      <c r="AU20" s="141">
        <v>2.95</v>
      </c>
      <c r="AV20" s="141">
        <v>2.95</v>
      </c>
      <c r="AW20" s="141">
        <v>2.95</v>
      </c>
      <c r="AX20" s="126" t="s">
        <v>2585</v>
      </c>
    </row>
    <row r="21" spans="1:50" ht="14.5">
      <c r="A21" s="150" t="str">
        <f>IF(Главная!$P$9="Дол.",AX21,IF(Главная!$P$9="гривен.",AP21,IF(Главная!$P$9="рублей.",AI21,AP21)))</f>
        <v>Арциз</v>
      </c>
      <c r="B21" s="150">
        <v>6307441</v>
      </c>
      <c r="C21" s="151" t="s">
        <v>2513</v>
      </c>
      <c r="D21" s="147"/>
      <c r="E21" s="147">
        <v>290</v>
      </c>
      <c r="F21" s="147">
        <v>300</v>
      </c>
      <c r="G21" s="147">
        <v>310</v>
      </c>
      <c r="H21" s="147">
        <v>320</v>
      </c>
      <c r="I21" s="147">
        <v>330</v>
      </c>
      <c r="J21" s="147">
        <v>8.1999999999999993</v>
      </c>
      <c r="K21" s="162">
        <f>IF(Главная!$P$9="Дол.",AY21,IF(Главная!$P$9="гривен.",AQ21,IF(Главная!$P$9="рублей.",AJ21,AQ21)))</f>
        <v>2.23</v>
      </c>
      <c r="L21" s="162">
        <f>IF(Главная!$P$9="Дол.",AZ21,IF(Главная!$P$9="гривен.",AR21,IF(Главная!$P$9="рублей.",AK21,AR21)))</f>
        <v>2.23</v>
      </c>
      <c r="M21" s="162">
        <f>IF(Главная!$P$9="Дол.",BA21,IF(Главная!$P$9="гривен.",AS21,IF(Главная!$P$9="рублей.",AL21,AS21)))</f>
        <v>2.23</v>
      </c>
      <c r="N21" s="162">
        <f>IF(Главная!$P$9="Дол.",BB21,IF(Главная!$P$9="гривен.",AT21,IF(Главная!$P$9="рублей.",AM21,AT21)))</f>
        <v>2.23</v>
      </c>
      <c r="O21" s="162">
        <f>IF(Главная!$P$9="Дол.",BC21,IF(Главная!$P$9="гривен.",AU21,IF(Главная!$P$9="рублей.",AN21,AU21)))</f>
        <v>2.23</v>
      </c>
      <c r="P21" s="148">
        <v>5</v>
      </c>
      <c r="Q21" s="148">
        <v>4.8</v>
      </c>
      <c r="R21" s="148">
        <v>4.5999999999999996</v>
      </c>
      <c r="S21" s="148">
        <v>4.4000000000000004</v>
      </c>
      <c r="T21" s="148">
        <v>4</v>
      </c>
      <c r="U21" s="147">
        <v>3.8</v>
      </c>
      <c r="V21" s="147">
        <v>3.5</v>
      </c>
      <c r="W21" s="147">
        <v>1400</v>
      </c>
      <c r="X21" s="147">
        <v>1350</v>
      </c>
      <c r="Y21" s="147">
        <v>1300</v>
      </c>
      <c r="Z21" s="147">
        <v>1250</v>
      </c>
      <c r="AA21" s="147">
        <v>1200</v>
      </c>
      <c r="AB21" s="147">
        <v>1100</v>
      </c>
      <c r="AC21" s="147">
        <v>1000</v>
      </c>
      <c r="AD21" s="147">
        <v>950</v>
      </c>
      <c r="AE21" s="147">
        <v>900</v>
      </c>
      <c r="AI21" s="150" t="s">
        <v>1821</v>
      </c>
      <c r="AJ21" s="148">
        <v>6.2</v>
      </c>
      <c r="AK21" s="148">
        <v>6</v>
      </c>
      <c r="AL21" s="148">
        <v>5.6</v>
      </c>
      <c r="AM21" s="148">
        <v>5.2</v>
      </c>
      <c r="AN21" s="148">
        <v>5.0999999999999996</v>
      </c>
      <c r="AP21" s="144" t="s">
        <v>2496</v>
      </c>
      <c r="AQ21" s="141">
        <v>2.23</v>
      </c>
      <c r="AR21" s="141">
        <v>2.23</v>
      </c>
      <c r="AS21" s="141">
        <v>2.23</v>
      </c>
      <c r="AT21" s="141">
        <v>2.23</v>
      </c>
      <c r="AU21" s="141">
        <v>2.23</v>
      </c>
      <c r="AV21" s="141">
        <v>2.23</v>
      </c>
      <c r="AW21" s="141">
        <v>2.23</v>
      </c>
      <c r="AX21" s="126" t="s">
        <v>2586</v>
      </c>
    </row>
    <row r="22" spans="1:50" ht="14.5">
      <c r="A22" s="150" t="str">
        <f>IF(Главная!$P$9="Дол.",AX22,IF(Главная!$P$9="гривен.",AP22,IF(Главная!$P$9="рублей.",AI22,AP22)))</f>
        <v>Ахтырка</v>
      </c>
      <c r="B22" s="150">
        <v>6309514</v>
      </c>
      <c r="C22" s="149"/>
      <c r="D22" s="147"/>
      <c r="E22" s="147">
        <v>300</v>
      </c>
      <c r="F22" s="147">
        <v>370</v>
      </c>
      <c r="G22" s="147">
        <v>380</v>
      </c>
      <c r="H22" s="147">
        <v>390</v>
      </c>
      <c r="I22" s="147">
        <v>400</v>
      </c>
      <c r="J22" s="147">
        <v>10</v>
      </c>
      <c r="K22" s="162">
        <f>IF(Главная!$P$9="Дол.",AY22,IF(Главная!$P$9="гривен.",AQ22,IF(Главная!$P$9="рублей.",AJ22,AQ22)))</f>
        <v>1.21</v>
      </c>
      <c r="L22" s="162">
        <f>IF(Главная!$P$9="Дол.",AZ22,IF(Главная!$P$9="гривен.",AR22,IF(Главная!$P$9="рублей.",AK22,AR22)))</f>
        <v>1.21</v>
      </c>
      <c r="M22" s="162">
        <f>IF(Главная!$P$9="Дол.",BA22,IF(Главная!$P$9="гривен.",AS22,IF(Главная!$P$9="рублей.",AL22,AS22)))</f>
        <v>1.21</v>
      </c>
      <c r="N22" s="162">
        <f>IF(Главная!$P$9="Дол.",BB22,IF(Главная!$P$9="гривен.",AT22,IF(Главная!$P$9="рублей.",AM22,AT22)))</f>
        <v>1.21</v>
      </c>
      <c r="O22" s="162">
        <f>IF(Главная!$P$9="Дол.",BC22,IF(Главная!$P$9="гривен.",AU22,IF(Главная!$P$9="рублей.",AN22,AU22)))</f>
        <v>1.21</v>
      </c>
      <c r="P22" s="148">
        <v>7.4</v>
      </c>
      <c r="Q22" s="148">
        <v>7.2</v>
      </c>
      <c r="R22" s="148">
        <v>7</v>
      </c>
      <c r="S22" s="148">
        <v>6.8</v>
      </c>
      <c r="T22" s="148">
        <v>6.6</v>
      </c>
      <c r="U22" s="147">
        <v>6.4</v>
      </c>
      <c r="V22" s="147">
        <v>6.2</v>
      </c>
      <c r="W22" s="147">
        <v>2100</v>
      </c>
      <c r="X22" s="147">
        <v>2000</v>
      </c>
      <c r="Y22" s="147">
        <v>1900</v>
      </c>
      <c r="Z22" s="147">
        <v>1800</v>
      </c>
      <c r="AA22" s="147">
        <v>1700</v>
      </c>
      <c r="AB22" s="147">
        <v>1600</v>
      </c>
      <c r="AC22" s="147">
        <v>1500</v>
      </c>
      <c r="AD22" s="147">
        <v>1450</v>
      </c>
      <c r="AE22" s="147">
        <v>1400</v>
      </c>
      <c r="AI22" s="150" t="s">
        <v>2557</v>
      </c>
      <c r="AJ22" s="148">
        <v>10</v>
      </c>
      <c r="AK22" s="148">
        <v>9.5</v>
      </c>
      <c r="AL22" s="148">
        <v>9</v>
      </c>
      <c r="AM22" s="148">
        <v>8</v>
      </c>
      <c r="AN22" s="148">
        <v>7.6</v>
      </c>
      <c r="AP22" s="144" t="s">
        <v>2495</v>
      </c>
      <c r="AQ22" s="141">
        <v>1.21</v>
      </c>
      <c r="AR22" s="141">
        <v>1.21</v>
      </c>
      <c r="AS22" s="141">
        <v>1.21</v>
      </c>
      <c r="AT22" s="141">
        <v>1.21</v>
      </c>
      <c r="AU22" s="141">
        <v>1.21</v>
      </c>
      <c r="AV22" s="141">
        <v>1.21</v>
      </c>
      <c r="AW22" s="141">
        <v>1.21</v>
      </c>
      <c r="AX22" s="126" t="s">
        <v>2587</v>
      </c>
    </row>
    <row r="23" spans="1:50" ht="14.5">
      <c r="A23" s="150" t="str">
        <f>IF(Главная!$P$9="Дол.",AX23,IF(Главная!$P$9="гривен.",AP23,IF(Главная!$P$9="рублей.",AI23,AP23)))</f>
        <v>Балта</v>
      </c>
      <c r="B23" s="150">
        <v>6307444</v>
      </c>
      <c r="C23" s="151" t="s">
        <v>2513</v>
      </c>
      <c r="D23" s="147"/>
      <c r="E23" s="147">
        <v>290</v>
      </c>
      <c r="F23" s="147">
        <v>300</v>
      </c>
      <c r="G23" s="147">
        <v>310</v>
      </c>
      <c r="H23" s="147">
        <v>320</v>
      </c>
      <c r="I23" s="147">
        <v>330</v>
      </c>
      <c r="J23" s="147">
        <v>8.1999999999999993</v>
      </c>
      <c r="K23" s="162">
        <f>IF(Главная!$P$9="Дол.",AY23,IF(Главная!$P$9="гривен.",AQ23,IF(Главная!$P$9="рублей.",AJ23,AQ23)))</f>
        <v>2.12</v>
      </c>
      <c r="L23" s="162">
        <f>IF(Главная!$P$9="Дол.",AZ23,IF(Главная!$P$9="гривен.",AR23,IF(Главная!$P$9="рублей.",AK23,AR23)))</f>
        <v>2.12</v>
      </c>
      <c r="M23" s="162">
        <f>IF(Главная!$P$9="Дол.",BA23,IF(Главная!$P$9="гривен.",AS23,IF(Главная!$P$9="рублей.",AL23,AS23)))</f>
        <v>2.12</v>
      </c>
      <c r="N23" s="162">
        <f>IF(Главная!$P$9="Дол.",BB23,IF(Главная!$P$9="гривен.",AT23,IF(Главная!$P$9="рублей.",AM23,AT23)))</f>
        <v>2.12</v>
      </c>
      <c r="O23" s="162">
        <f>IF(Главная!$P$9="Дол.",BC23,IF(Главная!$P$9="гривен.",AU23,IF(Главная!$P$9="рублей.",AN23,AU23)))</f>
        <v>2.12</v>
      </c>
      <c r="P23" s="148">
        <v>4.9000000000000004</v>
      </c>
      <c r="Q23" s="148">
        <v>4.8</v>
      </c>
      <c r="R23" s="148">
        <v>4.7</v>
      </c>
      <c r="S23" s="148">
        <v>4.5999999999999996</v>
      </c>
      <c r="T23" s="148">
        <v>4.5</v>
      </c>
      <c r="U23" s="147">
        <v>4.4000000000000004</v>
      </c>
      <c r="V23" s="147">
        <v>4</v>
      </c>
      <c r="W23" s="147">
        <v>1500</v>
      </c>
      <c r="X23" s="147">
        <v>1400</v>
      </c>
      <c r="Y23" s="147">
        <v>1350</v>
      </c>
      <c r="Z23" s="147">
        <v>1300</v>
      </c>
      <c r="AA23" s="147">
        <v>1250</v>
      </c>
      <c r="AB23" s="147">
        <v>1200</v>
      </c>
      <c r="AC23" s="147">
        <v>1150</v>
      </c>
      <c r="AD23" s="147">
        <v>1100</v>
      </c>
      <c r="AE23" s="147">
        <v>1000</v>
      </c>
      <c r="AI23" s="150" t="s">
        <v>1785</v>
      </c>
      <c r="AJ23" s="148">
        <v>7</v>
      </c>
      <c r="AK23" s="148">
        <v>6.5</v>
      </c>
      <c r="AL23" s="148">
        <v>6</v>
      </c>
      <c r="AM23" s="148">
        <v>5.5</v>
      </c>
      <c r="AN23" s="148">
        <v>5</v>
      </c>
      <c r="AP23" s="144" t="s">
        <v>2494</v>
      </c>
      <c r="AQ23" s="141">
        <v>2.12</v>
      </c>
      <c r="AR23" s="141">
        <v>2.12</v>
      </c>
      <c r="AS23" s="141">
        <v>2.12</v>
      </c>
      <c r="AT23" s="141">
        <v>2.12</v>
      </c>
      <c r="AU23" s="141">
        <v>2.12</v>
      </c>
      <c r="AV23" s="141">
        <v>2.12</v>
      </c>
      <c r="AW23" s="141">
        <v>2.12</v>
      </c>
      <c r="AX23" s="126" t="s">
        <v>2588</v>
      </c>
    </row>
    <row r="24" spans="1:50" ht="21">
      <c r="A24" s="150" t="str">
        <f>IF(Главная!$P$9="Дол.",AX24,IF(Главная!$P$9="гривен.",AP24,IF(Главная!$P$9="рублей.",AI24,AP24)))</f>
        <v>Бар</v>
      </c>
      <c r="B24" s="150">
        <v>6308047</v>
      </c>
      <c r="C24" s="149"/>
      <c r="D24" s="147"/>
      <c r="E24" s="147">
        <v>300</v>
      </c>
      <c r="F24" s="147">
        <v>400</v>
      </c>
      <c r="G24" s="147">
        <v>600</v>
      </c>
      <c r="H24" s="147">
        <v>790</v>
      </c>
      <c r="I24" s="147">
        <v>800</v>
      </c>
      <c r="J24" s="147">
        <v>20</v>
      </c>
      <c r="K24" s="162">
        <f>IF(Главная!$P$9="Дол.",AY24,IF(Главная!$P$9="гривен.",AQ24,IF(Главная!$P$9="рублей.",AJ24,AQ24)))</f>
        <v>2.23</v>
      </c>
      <c r="L24" s="162">
        <f>IF(Главная!$P$9="Дол.",AZ24,IF(Главная!$P$9="гривен.",AR24,IF(Главная!$P$9="рублей.",AK24,AR24)))</f>
        <v>2.23</v>
      </c>
      <c r="M24" s="162">
        <f>IF(Главная!$P$9="Дол.",BA24,IF(Главная!$P$9="гривен.",AS24,IF(Главная!$P$9="рублей.",AL24,AS24)))</f>
        <v>2.23</v>
      </c>
      <c r="N24" s="162">
        <f>IF(Главная!$P$9="Дол.",BB24,IF(Главная!$P$9="гривен.",AT24,IF(Главная!$P$9="рублей.",AM24,AT24)))</f>
        <v>2.23</v>
      </c>
      <c r="O24" s="162">
        <f>IF(Главная!$P$9="Дол.",BC24,IF(Главная!$P$9="гривен.",AU24,IF(Главная!$P$9="рублей.",AN24,AU24)))</f>
        <v>2.23</v>
      </c>
      <c r="P24" s="148">
        <v>17</v>
      </c>
      <c r="Q24" s="148">
        <v>16.5</v>
      </c>
      <c r="R24" s="148">
        <v>16.399999999999999</v>
      </c>
      <c r="S24" s="148">
        <v>16.3</v>
      </c>
      <c r="T24" s="148">
        <v>16.2</v>
      </c>
      <c r="U24" s="147">
        <v>16.100000000000001</v>
      </c>
      <c r="V24" s="147">
        <v>16</v>
      </c>
      <c r="W24" s="147">
        <v>4000</v>
      </c>
      <c r="X24" s="147">
        <v>3950</v>
      </c>
      <c r="Y24" s="147">
        <v>3900</v>
      </c>
      <c r="Z24" s="147">
        <v>3800</v>
      </c>
      <c r="AA24" s="147">
        <v>3700</v>
      </c>
      <c r="AB24" s="147">
        <v>3600</v>
      </c>
      <c r="AC24" s="147">
        <v>3500</v>
      </c>
      <c r="AD24" s="147">
        <v>3400</v>
      </c>
      <c r="AE24" s="147">
        <v>3300</v>
      </c>
      <c r="AI24" s="150" t="s">
        <v>1766</v>
      </c>
      <c r="AJ24" s="148">
        <v>20</v>
      </c>
      <c r="AK24" s="148">
        <v>19</v>
      </c>
      <c r="AL24" s="148">
        <v>18.5</v>
      </c>
      <c r="AM24" s="148">
        <v>18</v>
      </c>
      <c r="AN24" s="148">
        <v>17.5</v>
      </c>
      <c r="AP24" s="144" t="s">
        <v>2493</v>
      </c>
      <c r="AQ24" s="141">
        <v>2.23</v>
      </c>
      <c r="AR24" s="141">
        <v>2.23</v>
      </c>
      <c r="AS24" s="141">
        <v>2.23</v>
      </c>
      <c r="AT24" s="141">
        <v>2.23</v>
      </c>
      <c r="AU24" s="141">
        <v>2.23</v>
      </c>
      <c r="AV24" s="141">
        <v>2.23</v>
      </c>
      <c r="AW24" s="141">
        <v>2.23</v>
      </c>
      <c r="AX24" s="126" t="s">
        <v>2589</v>
      </c>
    </row>
    <row r="25" spans="1:50" ht="14.5">
      <c r="A25" s="150" t="str">
        <f>IF(Главная!$P$9="Дол.",AX25,IF(Главная!$P$9="гривен.",AP25,IF(Главная!$P$9="рублей.",AI25,AP25)))</f>
        <v>Барановка</v>
      </c>
      <c r="B25" s="150">
        <v>6308453</v>
      </c>
      <c r="C25" s="149"/>
      <c r="D25" s="147"/>
      <c r="E25" s="147">
        <v>300</v>
      </c>
      <c r="F25" s="147">
        <v>400</v>
      </c>
      <c r="G25" s="147">
        <v>460</v>
      </c>
      <c r="H25" s="147">
        <v>470</v>
      </c>
      <c r="I25" s="147">
        <v>480</v>
      </c>
      <c r="J25" s="147">
        <v>12</v>
      </c>
      <c r="K25" s="162">
        <f>IF(Главная!$P$9="Дол.",AY25,IF(Главная!$P$9="гривен.",AQ25,IF(Главная!$P$9="рублей.",AJ25,AQ25)))</f>
        <v>1.74</v>
      </c>
      <c r="L25" s="162">
        <f>IF(Главная!$P$9="Дол.",AZ25,IF(Главная!$P$9="гривен.",AR25,IF(Главная!$P$9="рублей.",AK25,AR25)))</f>
        <v>1.74</v>
      </c>
      <c r="M25" s="162">
        <f>IF(Главная!$P$9="Дол.",BA25,IF(Главная!$P$9="гривен.",AS25,IF(Главная!$P$9="рублей.",AL25,AS25)))</f>
        <v>1.74</v>
      </c>
      <c r="N25" s="162">
        <f>IF(Главная!$P$9="Дол.",BB25,IF(Главная!$P$9="гривен.",AT25,IF(Главная!$P$9="рублей.",AM25,AT25)))</f>
        <v>1.74</v>
      </c>
      <c r="O25" s="162">
        <f>IF(Главная!$P$9="Дол.",BC25,IF(Главная!$P$9="гривен.",AU25,IF(Главная!$P$9="рублей.",AN25,AU25)))</f>
        <v>1.74</v>
      </c>
      <c r="P25" s="148">
        <v>10</v>
      </c>
      <c r="Q25" s="148">
        <v>9.8000000000000007</v>
      </c>
      <c r="R25" s="148">
        <v>9.4</v>
      </c>
      <c r="S25" s="148">
        <v>9.1999999999999993</v>
      </c>
      <c r="T25" s="148">
        <v>9</v>
      </c>
      <c r="U25" s="147">
        <v>8.6</v>
      </c>
      <c r="V25" s="147">
        <v>8.4</v>
      </c>
      <c r="W25" s="147">
        <v>2600</v>
      </c>
      <c r="X25" s="147">
        <v>2500</v>
      </c>
      <c r="Y25" s="147">
        <v>2400</v>
      </c>
      <c r="Z25" s="147">
        <v>2300</v>
      </c>
      <c r="AA25" s="147">
        <v>2250</v>
      </c>
      <c r="AB25" s="147">
        <v>2200</v>
      </c>
      <c r="AC25" s="147">
        <v>2150</v>
      </c>
      <c r="AD25" s="147">
        <v>2100</v>
      </c>
      <c r="AE25" s="147">
        <v>2050</v>
      </c>
      <c r="AI25" s="150" t="s">
        <v>1733</v>
      </c>
      <c r="AJ25" s="148">
        <v>12</v>
      </c>
      <c r="AK25" s="148">
        <v>11.5</v>
      </c>
      <c r="AL25" s="148">
        <v>11</v>
      </c>
      <c r="AM25" s="148">
        <v>10.6</v>
      </c>
      <c r="AN25" s="148">
        <v>10.199999999999999</v>
      </c>
      <c r="AP25" s="144" t="s">
        <v>2492</v>
      </c>
      <c r="AQ25" s="141">
        <v>1.74</v>
      </c>
      <c r="AR25" s="141">
        <v>1.74</v>
      </c>
      <c r="AS25" s="141">
        <v>1.74</v>
      </c>
      <c r="AT25" s="141">
        <v>1.74</v>
      </c>
      <c r="AU25" s="141">
        <v>1.74</v>
      </c>
      <c r="AV25" s="141">
        <v>1.74</v>
      </c>
      <c r="AW25" s="141">
        <v>1.74</v>
      </c>
      <c r="AX25" s="126" t="s">
        <v>2590</v>
      </c>
    </row>
    <row r="26" spans="1:50" ht="21">
      <c r="A26" s="150" t="str">
        <f>IF(Главная!$P$9="Дол.",AX26,IF(Главная!$P$9="гривен.",AP26,IF(Главная!$P$9="рублей.",AI26,AP26)))</f>
        <v>Бахмач</v>
      </c>
      <c r="B26" s="150">
        <v>6309539</v>
      </c>
      <c r="C26" s="151" t="s">
        <v>2513</v>
      </c>
      <c r="D26" s="147"/>
      <c r="E26" s="147">
        <v>300</v>
      </c>
      <c r="F26" s="147">
        <v>400</v>
      </c>
      <c r="G26" s="147">
        <v>600</v>
      </c>
      <c r="H26" s="147">
        <v>670</v>
      </c>
      <c r="I26" s="147">
        <v>680</v>
      </c>
      <c r="J26" s="147">
        <v>17</v>
      </c>
      <c r="K26" s="162">
        <f>IF(Главная!$P$9="Дол.",AY26,IF(Главная!$P$9="гривен.",AQ26,IF(Главная!$P$9="рублей.",AJ26,AQ26)))</f>
        <v>1.74</v>
      </c>
      <c r="L26" s="162">
        <f>IF(Главная!$P$9="Дол.",AZ26,IF(Главная!$P$9="гривен.",AR26,IF(Главная!$P$9="рублей.",AK26,AR26)))</f>
        <v>1.74</v>
      </c>
      <c r="M26" s="162">
        <f>IF(Главная!$P$9="Дол.",BA26,IF(Главная!$P$9="гривен.",AS26,IF(Главная!$P$9="рублей.",AL26,AS26)))</f>
        <v>1.74</v>
      </c>
      <c r="N26" s="162">
        <f>IF(Главная!$P$9="Дол.",BB26,IF(Главная!$P$9="гривен.",AT26,IF(Главная!$P$9="рублей.",AM26,AT26)))</f>
        <v>1.74</v>
      </c>
      <c r="O26" s="162">
        <f>IF(Главная!$P$9="Дол.",BC26,IF(Главная!$P$9="гривен.",AU26,IF(Главная!$P$9="рублей.",AN26,AU26)))</f>
        <v>1.74</v>
      </c>
      <c r="P26" s="148">
        <v>14.7</v>
      </c>
      <c r="Q26" s="148">
        <v>14.3</v>
      </c>
      <c r="R26" s="148">
        <v>14</v>
      </c>
      <c r="S26" s="148">
        <v>13.5</v>
      </c>
      <c r="T26" s="148">
        <v>13</v>
      </c>
      <c r="U26" s="147">
        <v>12</v>
      </c>
      <c r="V26" s="147">
        <v>11</v>
      </c>
      <c r="W26" s="147">
        <v>3800</v>
      </c>
      <c r="X26" s="147">
        <v>3600</v>
      </c>
      <c r="Y26" s="147">
        <v>3400</v>
      </c>
      <c r="Z26" s="147">
        <v>3300</v>
      </c>
      <c r="AA26" s="147">
        <v>3200</v>
      </c>
      <c r="AB26" s="147">
        <v>3100</v>
      </c>
      <c r="AC26" s="147">
        <v>3000</v>
      </c>
      <c r="AD26" s="147">
        <v>2900</v>
      </c>
      <c r="AE26" s="147">
        <v>2800</v>
      </c>
      <c r="AI26" s="150" t="s">
        <v>1691</v>
      </c>
      <c r="AJ26" s="148">
        <v>17</v>
      </c>
      <c r="AK26" s="148">
        <v>16.5</v>
      </c>
      <c r="AL26" s="148">
        <v>16</v>
      </c>
      <c r="AM26" s="148">
        <v>15.5</v>
      </c>
      <c r="AN26" s="148">
        <v>15</v>
      </c>
      <c r="AP26" s="144" t="s">
        <v>2491</v>
      </c>
      <c r="AQ26" s="141">
        <v>1.74</v>
      </c>
      <c r="AR26" s="141">
        <v>1.74</v>
      </c>
      <c r="AS26" s="141">
        <v>1.74</v>
      </c>
      <c r="AT26" s="141">
        <v>1.74</v>
      </c>
      <c r="AU26" s="141">
        <v>1.74</v>
      </c>
      <c r="AV26" s="141">
        <v>1.74</v>
      </c>
      <c r="AW26" s="141">
        <v>1.74</v>
      </c>
      <c r="AX26" s="126" t="s">
        <v>2583</v>
      </c>
    </row>
    <row r="27" spans="1:50" ht="21">
      <c r="A27" s="150" t="str">
        <f>IF(Главная!$P$9="Дол.",AX27,IF(Главная!$P$9="гривен.",AP27,IF(Главная!$P$9="рублей.",AI27,AP27)))</f>
        <v>Бахчисарай</v>
      </c>
      <c r="B27" s="150">
        <v>6309438</v>
      </c>
      <c r="C27" s="151" t="s">
        <v>2513</v>
      </c>
      <c r="D27" s="147"/>
      <c r="E27" s="147">
        <v>300</v>
      </c>
      <c r="F27" s="147">
        <v>400</v>
      </c>
      <c r="G27" s="147">
        <v>460</v>
      </c>
      <c r="H27" s="147">
        <v>470</v>
      </c>
      <c r="I27" s="147">
        <v>480</v>
      </c>
      <c r="J27" s="147">
        <v>12</v>
      </c>
      <c r="K27" s="162">
        <f>IF(Главная!$P$9="Дол.",AY27,IF(Главная!$P$9="гривен.",AQ27,IF(Главная!$P$9="рублей.",AJ27,AQ27)))</f>
        <v>12</v>
      </c>
      <c r="L27" s="162">
        <f>IF(Главная!$P$9="Дол.",AZ27,IF(Главная!$P$9="гривен.",AR27,IF(Главная!$P$9="рублей.",AK27,AR27)))</f>
        <v>12</v>
      </c>
      <c r="M27" s="162">
        <f>IF(Главная!$P$9="Дол.",BA27,IF(Главная!$P$9="гривен.",AS27,IF(Главная!$P$9="рублей.",AL27,AS27)))</f>
        <v>12</v>
      </c>
      <c r="N27" s="162">
        <f>IF(Главная!$P$9="Дол.",BB27,IF(Главная!$P$9="гривен.",AT27,IF(Главная!$P$9="рублей.",AM27,AT27)))</f>
        <v>12</v>
      </c>
      <c r="O27" s="162">
        <f>IF(Главная!$P$9="Дол.",BC27,IF(Главная!$P$9="гривен.",AU27,IF(Главная!$P$9="рублей.",AN27,AU27)))</f>
        <v>12</v>
      </c>
      <c r="P27" s="148">
        <v>9.5</v>
      </c>
      <c r="Q27" s="148">
        <v>9</v>
      </c>
      <c r="R27" s="148">
        <v>8.5</v>
      </c>
      <c r="S27" s="148">
        <v>8.4</v>
      </c>
      <c r="T27" s="148">
        <v>8.3000000000000007</v>
      </c>
      <c r="U27" s="147">
        <v>8.1999999999999993</v>
      </c>
      <c r="V27" s="147">
        <v>8</v>
      </c>
      <c r="W27" s="147">
        <v>2600</v>
      </c>
      <c r="X27" s="147">
        <v>2500</v>
      </c>
      <c r="Y27" s="147">
        <v>2400</v>
      </c>
      <c r="Z27" s="147">
        <v>2300</v>
      </c>
      <c r="AA27" s="147">
        <v>2200</v>
      </c>
      <c r="AB27" s="147">
        <v>2100</v>
      </c>
      <c r="AC27" s="147">
        <v>2000</v>
      </c>
      <c r="AD27" s="147">
        <v>1950</v>
      </c>
      <c r="AE27" s="147">
        <v>1900</v>
      </c>
      <c r="AI27" s="150" t="s">
        <v>1687</v>
      </c>
      <c r="AJ27" s="148">
        <v>12</v>
      </c>
      <c r="AK27" s="148">
        <v>11.5</v>
      </c>
      <c r="AL27" s="148">
        <v>11</v>
      </c>
      <c r="AM27" s="148">
        <v>10.5</v>
      </c>
      <c r="AN27" s="148">
        <v>10</v>
      </c>
      <c r="AP27" s="144" t="s">
        <v>2490</v>
      </c>
      <c r="AQ27" s="141">
        <v>12</v>
      </c>
      <c r="AR27" s="141">
        <v>12</v>
      </c>
      <c r="AS27" s="141">
        <v>12</v>
      </c>
      <c r="AT27" s="141">
        <v>12</v>
      </c>
      <c r="AU27" s="141">
        <v>12</v>
      </c>
      <c r="AV27" s="141">
        <v>12</v>
      </c>
      <c r="AW27" s="141">
        <v>12</v>
      </c>
      <c r="AX27" s="126" t="s">
        <v>2584</v>
      </c>
    </row>
    <row r="28" spans="1:50" ht="21">
      <c r="A28" s="150" t="str">
        <f>IF(Главная!$P$9="Дол.",AX28,IF(Главная!$P$9="гривен.",AP28,IF(Главная!$P$9="рублей.",AI28,AP28)))</f>
        <v>Белая Церковь</v>
      </c>
      <c r="B28" s="150">
        <v>6308000</v>
      </c>
      <c r="C28" s="149"/>
      <c r="D28" s="147"/>
      <c r="E28" s="147">
        <v>300</v>
      </c>
      <c r="F28" s="147">
        <v>400</v>
      </c>
      <c r="G28" s="147">
        <v>600</v>
      </c>
      <c r="H28" s="147">
        <v>630</v>
      </c>
      <c r="I28" s="147">
        <v>640</v>
      </c>
      <c r="J28" s="147">
        <v>16</v>
      </c>
      <c r="K28" s="162">
        <f>IF(Главная!$P$9="Дол.",AY28,IF(Главная!$P$9="гривен.",AQ28,IF(Главная!$P$9="рублей.",AJ28,AQ28)))</f>
        <v>1.74</v>
      </c>
      <c r="L28" s="162">
        <f>IF(Главная!$P$9="Дол.",AZ28,IF(Главная!$P$9="гривен.",AR28,IF(Главная!$P$9="рублей.",AK28,AR28)))</f>
        <v>1.74</v>
      </c>
      <c r="M28" s="162">
        <f>IF(Главная!$P$9="Дол.",BA28,IF(Главная!$P$9="гривен.",AS28,IF(Главная!$P$9="рублей.",AL28,AS28)))</f>
        <v>1.74</v>
      </c>
      <c r="N28" s="162">
        <f>IF(Главная!$P$9="Дол.",BB28,IF(Главная!$P$9="гривен.",AT28,IF(Главная!$P$9="рублей.",AM28,AT28)))</f>
        <v>1.74</v>
      </c>
      <c r="O28" s="162">
        <f>IF(Главная!$P$9="Дол.",BC28,IF(Главная!$P$9="гривен.",AU28,IF(Главная!$P$9="рублей.",AN28,AU28)))</f>
        <v>1.74</v>
      </c>
      <c r="P28" s="148">
        <v>14.5</v>
      </c>
      <c r="Q28" s="148">
        <v>14.2</v>
      </c>
      <c r="R28" s="148">
        <v>14</v>
      </c>
      <c r="S28" s="148">
        <v>13.7</v>
      </c>
      <c r="T28" s="148">
        <v>13.5</v>
      </c>
      <c r="U28" s="147">
        <v>13.3</v>
      </c>
      <c r="V28" s="147">
        <v>13</v>
      </c>
      <c r="W28" s="147">
        <v>3500</v>
      </c>
      <c r="X28" s="147">
        <v>3000</v>
      </c>
      <c r="Y28" s="147">
        <v>2950</v>
      </c>
      <c r="Z28" s="147">
        <v>2900</v>
      </c>
      <c r="AA28" s="147">
        <v>2850</v>
      </c>
      <c r="AB28" s="147">
        <v>2800</v>
      </c>
      <c r="AC28" s="147">
        <v>2750</v>
      </c>
      <c r="AD28" s="147">
        <v>2700</v>
      </c>
      <c r="AE28" s="147">
        <v>2650</v>
      </c>
      <c r="AI28" s="150" t="s">
        <v>1650</v>
      </c>
      <c r="AJ28" s="148">
        <v>15.7</v>
      </c>
      <c r="AK28" s="148">
        <v>15.4</v>
      </c>
      <c r="AL28" s="148">
        <v>15.2</v>
      </c>
      <c r="AM28" s="148">
        <v>15</v>
      </c>
      <c r="AN28" s="148">
        <v>14.8</v>
      </c>
      <c r="AP28" s="144" t="s">
        <v>2489</v>
      </c>
      <c r="AQ28" s="141">
        <v>1.74</v>
      </c>
      <c r="AR28" s="141">
        <v>1.74</v>
      </c>
      <c r="AS28" s="141">
        <v>1.74</v>
      </c>
      <c r="AT28" s="141">
        <v>1.74</v>
      </c>
      <c r="AU28" s="141">
        <v>1.74</v>
      </c>
      <c r="AV28" s="141">
        <v>1.74</v>
      </c>
      <c r="AW28" s="141">
        <v>1.74</v>
      </c>
      <c r="AX28" s="126" t="s">
        <v>2585</v>
      </c>
    </row>
    <row r="29" spans="1:50" ht="21">
      <c r="A29" s="150" t="str">
        <f>IF(Главная!$P$9="Дол.",AX29,IF(Главная!$P$9="гривен.",AP29,IF(Главная!$P$9="рублей.",AI29,AP29)))</f>
        <v>Белгород-Днестровский</v>
      </c>
      <c r="B29" s="150">
        <v>6308359</v>
      </c>
      <c r="C29" s="149"/>
      <c r="D29" s="147"/>
      <c r="E29" s="147">
        <v>290</v>
      </c>
      <c r="F29" s="147">
        <v>300</v>
      </c>
      <c r="G29" s="147">
        <v>310</v>
      </c>
      <c r="H29" s="147">
        <v>320</v>
      </c>
      <c r="I29" s="147">
        <v>330</v>
      </c>
      <c r="J29" s="147">
        <v>8.1999999999999993</v>
      </c>
      <c r="K29" s="162">
        <f>IF(Главная!$P$9="Дол.",AY29,IF(Главная!$P$9="гривен.",AQ29,IF(Главная!$P$9="рублей.",AJ29,AQ29)))</f>
        <v>1.86</v>
      </c>
      <c r="L29" s="162">
        <f>IF(Главная!$P$9="Дол.",AZ29,IF(Главная!$P$9="гривен.",AR29,IF(Главная!$P$9="рублей.",AK29,AR29)))</f>
        <v>1.86</v>
      </c>
      <c r="M29" s="162">
        <f>IF(Главная!$P$9="Дол.",BA29,IF(Главная!$P$9="гривен.",AS29,IF(Главная!$P$9="рублей.",AL29,AS29)))</f>
        <v>1.86</v>
      </c>
      <c r="N29" s="162">
        <f>IF(Главная!$P$9="Дол.",BB29,IF(Главная!$P$9="гривен.",AT29,IF(Главная!$P$9="рублей.",AM29,AT29)))</f>
        <v>1.86</v>
      </c>
      <c r="O29" s="162">
        <f>IF(Главная!$P$9="Дол.",BC29,IF(Главная!$P$9="гривен.",AU29,IF(Главная!$P$9="рублей.",AN29,AU29)))</f>
        <v>1.86</v>
      </c>
      <c r="P29" s="148">
        <v>5.6</v>
      </c>
      <c r="Q29" s="148">
        <v>5.4</v>
      </c>
      <c r="R29" s="148">
        <v>5.2</v>
      </c>
      <c r="S29" s="148">
        <v>5</v>
      </c>
      <c r="T29" s="148">
        <v>4.8</v>
      </c>
      <c r="U29" s="147">
        <v>4.5999999999999996</v>
      </c>
      <c r="V29" s="147">
        <v>4.4000000000000004</v>
      </c>
      <c r="W29" s="147">
        <v>1400</v>
      </c>
      <c r="X29" s="147">
        <v>1300</v>
      </c>
      <c r="Y29" s="147">
        <v>1250</v>
      </c>
      <c r="Z29" s="147">
        <v>1230</v>
      </c>
      <c r="AA29" s="147">
        <v>1200</v>
      </c>
      <c r="AB29" s="147">
        <v>1150</v>
      </c>
      <c r="AC29" s="147">
        <v>1100</v>
      </c>
      <c r="AD29" s="147">
        <v>1050</v>
      </c>
      <c r="AE29" s="147">
        <v>1000</v>
      </c>
      <c r="AI29" s="150" t="s">
        <v>1643</v>
      </c>
      <c r="AJ29" s="148">
        <v>7</v>
      </c>
      <c r="AK29" s="148">
        <v>6.5</v>
      </c>
      <c r="AL29" s="148">
        <v>6</v>
      </c>
      <c r="AM29" s="148">
        <v>5.9</v>
      </c>
      <c r="AN29" s="148">
        <v>5.8</v>
      </c>
      <c r="AP29" s="144" t="s">
        <v>2488</v>
      </c>
      <c r="AQ29" s="141">
        <v>1.86</v>
      </c>
      <c r="AR29" s="141">
        <v>1.86</v>
      </c>
      <c r="AS29" s="141">
        <v>1.86</v>
      </c>
      <c r="AT29" s="141">
        <v>1.86</v>
      </c>
      <c r="AU29" s="141">
        <v>1.86</v>
      </c>
      <c r="AV29" s="141">
        <v>1.86</v>
      </c>
      <c r="AW29" s="141">
        <v>1.86</v>
      </c>
      <c r="AX29" s="126" t="s">
        <v>2586</v>
      </c>
    </row>
    <row r="30" spans="1:50" ht="14.5">
      <c r="A30" s="150" t="str">
        <f>IF(Главная!$P$9="Дол.",AX30,IF(Главная!$P$9="гривен.",AP30,IF(Главная!$P$9="рублей.",AI30,AP30)))</f>
        <v>Белогорск</v>
      </c>
      <c r="B30" s="150">
        <v>6308383</v>
      </c>
      <c r="C30" s="149"/>
      <c r="D30" s="147"/>
      <c r="E30" s="147">
        <v>300</v>
      </c>
      <c r="F30" s="147">
        <v>400</v>
      </c>
      <c r="G30" s="147">
        <v>460</v>
      </c>
      <c r="H30" s="147">
        <v>470</v>
      </c>
      <c r="I30" s="147">
        <v>480</v>
      </c>
      <c r="J30" s="147">
        <v>12</v>
      </c>
      <c r="K30" s="162">
        <f>IF(Главная!$P$9="Дол.",AY30,IF(Главная!$P$9="гривен.",AQ30,IF(Главная!$P$9="рублей.",AJ30,AQ30)))</f>
        <v>12</v>
      </c>
      <c r="L30" s="162">
        <f>IF(Главная!$P$9="Дол.",AZ30,IF(Главная!$P$9="гривен.",AR30,IF(Главная!$P$9="рублей.",AK30,AR30)))</f>
        <v>12</v>
      </c>
      <c r="M30" s="162">
        <f>IF(Главная!$P$9="Дол.",BA30,IF(Главная!$P$9="гривен.",AS30,IF(Главная!$P$9="рублей.",AL30,AS30)))</f>
        <v>12</v>
      </c>
      <c r="N30" s="162">
        <f>IF(Главная!$P$9="Дол.",BB30,IF(Главная!$P$9="гривен.",AT30,IF(Главная!$P$9="рублей.",AM30,AT30)))</f>
        <v>12</v>
      </c>
      <c r="O30" s="162">
        <f>IF(Главная!$P$9="Дол.",BC30,IF(Главная!$P$9="гривен.",AU30,IF(Главная!$P$9="рублей.",AN30,AU30)))</f>
        <v>12</v>
      </c>
      <c r="P30" s="148">
        <v>9</v>
      </c>
      <c r="Q30" s="148">
        <v>8.5</v>
      </c>
      <c r="R30" s="148">
        <v>8.4</v>
      </c>
      <c r="S30" s="148">
        <v>8.3000000000000007</v>
      </c>
      <c r="T30" s="148">
        <v>8.1999999999999993</v>
      </c>
      <c r="U30" s="147">
        <v>8.1</v>
      </c>
      <c r="V30" s="147">
        <v>8</v>
      </c>
      <c r="W30" s="147">
        <v>2500</v>
      </c>
      <c r="X30" s="147">
        <v>2400</v>
      </c>
      <c r="Y30" s="147">
        <v>2300</v>
      </c>
      <c r="Z30" s="147">
        <v>2200</v>
      </c>
      <c r="AA30" s="147">
        <v>2150</v>
      </c>
      <c r="AB30" s="147">
        <v>2100</v>
      </c>
      <c r="AC30" s="147">
        <v>2050</v>
      </c>
      <c r="AD30" s="147">
        <v>2000</v>
      </c>
      <c r="AE30" s="147">
        <v>1900</v>
      </c>
      <c r="AI30" s="150" t="s">
        <v>1640</v>
      </c>
      <c r="AJ30" s="148">
        <v>11.5</v>
      </c>
      <c r="AK30" s="148">
        <v>11</v>
      </c>
      <c r="AL30" s="148">
        <v>10.5</v>
      </c>
      <c r="AM30" s="148">
        <v>10</v>
      </c>
      <c r="AN30" s="148">
        <v>9.5</v>
      </c>
      <c r="AP30" s="144" t="s">
        <v>1802</v>
      </c>
      <c r="AQ30" s="141">
        <v>12</v>
      </c>
      <c r="AR30" s="141">
        <v>12</v>
      </c>
      <c r="AS30" s="141">
        <v>12</v>
      </c>
      <c r="AT30" s="141">
        <v>12</v>
      </c>
      <c r="AU30" s="141">
        <v>12</v>
      </c>
      <c r="AV30" s="141">
        <v>12</v>
      </c>
      <c r="AW30" s="141">
        <v>12</v>
      </c>
      <c r="AX30" s="126" t="s">
        <v>2587</v>
      </c>
    </row>
    <row r="31" spans="1:50" ht="14.5">
      <c r="A31" s="150" t="str">
        <f>IF(Главная!$P$9="Дол.",AX31,IF(Главная!$P$9="гривен.",AP31,IF(Главная!$P$9="рублей.",AI31,AP31)))</f>
        <v>Бердичев</v>
      </c>
      <c r="B31" s="150">
        <v>6308402</v>
      </c>
      <c r="C31" s="151" t="s">
        <v>2513</v>
      </c>
      <c r="D31" s="147"/>
      <c r="E31" s="147">
        <v>290</v>
      </c>
      <c r="F31" s="147">
        <v>300</v>
      </c>
      <c r="G31" s="147">
        <v>310</v>
      </c>
      <c r="H31" s="147">
        <v>320</v>
      </c>
      <c r="I31" s="147">
        <v>330</v>
      </c>
      <c r="J31" s="147">
        <v>8.1999999999999993</v>
      </c>
      <c r="K31" s="162">
        <f>IF(Главная!$P$9="Дол.",AY31,IF(Главная!$P$9="гривен.",AQ31,IF(Главная!$P$9="рублей.",AJ31,AQ31)))</f>
        <v>1.74</v>
      </c>
      <c r="L31" s="162">
        <f>IF(Главная!$P$9="Дол.",AZ31,IF(Главная!$P$9="гривен.",AR31,IF(Главная!$P$9="рублей.",AK31,AR31)))</f>
        <v>1.74</v>
      </c>
      <c r="M31" s="162">
        <f>IF(Главная!$P$9="Дол.",BA31,IF(Главная!$P$9="гривен.",AS31,IF(Главная!$P$9="рублей.",AL31,AS31)))</f>
        <v>1.74</v>
      </c>
      <c r="N31" s="162">
        <f>IF(Главная!$P$9="Дол.",BB31,IF(Главная!$P$9="гривен.",AT31,IF(Главная!$P$9="рублей.",AM31,AT31)))</f>
        <v>1.74</v>
      </c>
      <c r="O31" s="162">
        <f>IF(Главная!$P$9="Дол.",BC31,IF(Главная!$P$9="гривен.",AU31,IF(Главная!$P$9="рублей.",AN31,AU31)))</f>
        <v>1.74</v>
      </c>
      <c r="P31" s="148">
        <v>6.6</v>
      </c>
      <c r="Q31" s="148">
        <v>6.4</v>
      </c>
      <c r="R31" s="148">
        <v>6.2</v>
      </c>
      <c r="S31" s="148">
        <v>6</v>
      </c>
      <c r="T31" s="148">
        <v>5.8</v>
      </c>
      <c r="U31" s="147">
        <v>5.4</v>
      </c>
      <c r="V31" s="147">
        <v>5.2</v>
      </c>
      <c r="W31" s="147">
        <v>1600</v>
      </c>
      <c r="X31" s="147">
        <v>1500</v>
      </c>
      <c r="Y31" s="147">
        <v>1450</v>
      </c>
      <c r="Z31" s="147">
        <v>1400</v>
      </c>
      <c r="AA31" s="147">
        <v>1350</v>
      </c>
      <c r="AB31" s="147">
        <v>1300</v>
      </c>
      <c r="AC31" s="147">
        <v>1280</v>
      </c>
      <c r="AD31" s="147">
        <v>1260</v>
      </c>
      <c r="AE31" s="147">
        <v>1250</v>
      </c>
      <c r="AI31" s="150" t="s">
        <v>1637</v>
      </c>
      <c r="AJ31" s="148">
        <v>8</v>
      </c>
      <c r="AK31" s="148">
        <v>7.5</v>
      </c>
      <c r="AL31" s="148">
        <v>7</v>
      </c>
      <c r="AM31" s="148">
        <v>6.9</v>
      </c>
      <c r="AN31" s="148">
        <v>6.8</v>
      </c>
      <c r="AP31" s="144" t="s">
        <v>2487</v>
      </c>
      <c r="AQ31" s="141">
        <v>1.74</v>
      </c>
      <c r="AR31" s="141">
        <v>1.74</v>
      </c>
      <c r="AS31" s="141">
        <v>1.74</v>
      </c>
      <c r="AT31" s="141">
        <v>1.74</v>
      </c>
      <c r="AU31" s="141">
        <v>1.74</v>
      </c>
      <c r="AV31" s="141">
        <v>1.74</v>
      </c>
      <c r="AW31" s="141">
        <v>1.74</v>
      </c>
      <c r="AX31" s="126" t="s">
        <v>2588</v>
      </c>
    </row>
    <row r="32" spans="1:50" ht="14.5">
      <c r="A32" s="150" t="str">
        <f>IF(Главная!$P$9="Дол.",AX32,IF(Главная!$P$9="гривен.",AP32,IF(Главная!$P$9="рублей.",AI32,AP32)))</f>
        <v>Бердянск</v>
      </c>
      <c r="B32" s="150">
        <v>6308416</v>
      </c>
      <c r="C32" s="149"/>
      <c r="D32" s="147"/>
      <c r="E32" s="147">
        <v>300</v>
      </c>
      <c r="F32" s="147">
        <v>400</v>
      </c>
      <c r="G32" s="147">
        <v>460</v>
      </c>
      <c r="H32" s="147">
        <v>470</v>
      </c>
      <c r="I32" s="147">
        <v>480</v>
      </c>
      <c r="J32" s="147">
        <v>12</v>
      </c>
      <c r="K32" s="162">
        <f>IF(Главная!$P$9="Дол.",AY32,IF(Главная!$P$9="гривен.",AQ32,IF(Главная!$P$9="рублей.",AJ32,AQ32)))</f>
        <v>1.74</v>
      </c>
      <c r="L32" s="162">
        <f>IF(Главная!$P$9="Дол.",AZ32,IF(Главная!$P$9="гривен.",AR32,IF(Главная!$P$9="рублей.",AK32,AR32)))</f>
        <v>1.74</v>
      </c>
      <c r="M32" s="162">
        <f>IF(Главная!$P$9="Дол.",BA32,IF(Главная!$P$9="гривен.",AS32,IF(Главная!$P$9="рублей.",AL32,AS32)))</f>
        <v>1.74</v>
      </c>
      <c r="N32" s="162">
        <f>IF(Главная!$P$9="Дол.",BB32,IF(Главная!$P$9="гривен.",AT32,IF(Главная!$P$9="рублей.",AM32,AT32)))</f>
        <v>1.74</v>
      </c>
      <c r="O32" s="162">
        <f>IF(Главная!$P$9="Дол.",BC32,IF(Главная!$P$9="гривен.",AU32,IF(Главная!$P$9="рублей.",AN32,AU32)))</f>
        <v>1.74</v>
      </c>
      <c r="P32" s="148">
        <v>9</v>
      </c>
      <c r="Q32" s="148">
        <v>8.5</v>
      </c>
      <c r="R32" s="148">
        <v>8.4</v>
      </c>
      <c r="S32" s="148">
        <v>8.3000000000000007</v>
      </c>
      <c r="T32" s="148">
        <v>8.1999999999999993</v>
      </c>
      <c r="U32" s="147">
        <v>8.1</v>
      </c>
      <c r="V32" s="147">
        <v>8</v>
      </c>
      <c r="W32" s="147">
        <v>2500</v>
      </c>
      <c r="X32" s="147">
        <v>2400</v>
      </c>
      <c r="Y32" s="147">
        <v>2300</v>
      </c>
      <c r="Z32" s="147">
        <v>2200</v>
      </c>
      <c r="AA32" s="147">
        <v>2150</v>
      </c>
      <c r="AB32" s="147">
        <v>2100</v>
      </c>
      <c r="AC32" s="147">
        <v>2050</v>
      </c>
      <c r="AD32" s="147">
        <v>2000</v>
      </c>
      <c r="AE32" s="147">
        <v>1900</v>
      </c>
      <c r="AI32" s="150" t="s">
        <v>1627</v>
      </c>
      <c r="AJ32" s="148">
        <v>11.5</v>
      </c>
      <c r="AK32" s="148">
        <v>11</v>
      </c>
      <c r="AL32" s="148">
        <v>10.5</v>
      </c>
      <c r="AM32" s="148">
        <v>10</v>
      </c>
      <c r="AN32" s="148">
        <v>9.5</v>
      </c>
      <c r="AP32" s="144" t="s">
        <v>2486</v>
      </c>
      <c r="AQ32" s="141">
        <v>1.74</v>
      </c>
      <c r="AR32" s="141">
        <v>1.74</v>
      </c>
      <c r="AS32" s="141">
        <v>1.74</v>
      </c>
      <c r="AT32" s="141">
        <v>1.74</v>
      </c>
      <c r="AU32" s="141">
        <v>1.74</v>
      </c>
      <c r="AV32" s="141">
        <v>1.74</v>
      </c>
      <c r="AW32" s="141">
        <v>1.74</v>
      </c>
      <c r="AX32" s="126" t="s">
        <v>2589</v>
      </c>
    </row>
    <row r="33" spans="1:50" ht="21">
      <c r="A33" s="150" t="str">
        <f>IF(Главная!$P$9="Дол.",AX33,IF(Главная!$P$9="гривен.",AP33,IF(Главная!$P$9="рублей.",AI33,AP33)))</f>
        <v>Берегово</v>
      </c>
      <c r="B33" s="150">
        <v>6307307</v>
      </c>
      <c r="C33" s="151" t="s">
        <v>2513</v>
      </c>
      <c r="D33" s="147"/>
      <c r="E33" s="147">
        <v>290</v>
      </c>
      <c r="F33" s="147">
        <v>300</v>
      </c>
      <c r="G33" s="147">
        <v>310</v>
      </c>
      <c r="H33" s="147">
        <v>320</v>
      </c>
      <c r="I33" s="147">
        <v>330</v>
      </c>
      <c r="J33" s="147">
        <v>8.1999999999999993</v>
      </c>
      <c r="K33" s="162">
        <f>IF(Главная!$P$9="Дол.",AY33,IF(Главная!$P$9="гривен.",AQ33,IF(Главная!$P$9="рублей.",AJ33,AQ33)))</f>
        <v>2.59</v>
      </c>
      <c r="L33" s="162">
        <f>IF(Главная!$P$9="Дол.",AZ33,IF(Главная!$P$9="гривен.",AR33,IF(Главная!$P$9="рублей.",AK33,AR33)))</f>
        <v>2.59</v>
      </c>
      <c r="M33" s="162">
        <f>IF(Главная!$P$9="Дол.",BA33,IF(Главная!$P$9="гривен.",AS33,IF(Главная!$P$9="рублей.",AL33,AS33)))</f>
        <v>2.59</v>
      </c>
      <c r="N33" s="162">
        <f>IF(Главная!$P$9="Дол.",BB33,IF(Главная!$P$9="гривен.",AT33,IF(Главная!$P$9="рублей.",AM33,AT33)))</f>
        <v>2.59</v>
      </c>
      <c r="O33" s="162">
        <f>IF(Главная!$P$9="Дол.",BC33,IF(Главная!$P$9="гривен.",AU33,IF(Главная!$P$9="рублей.",AN33,AU33)))</f>
        <v>2.59</v>
      </c>
      <c r="P33" s="148">
        <v>7</v>
      </c>
      <c r="Q33" s="148">
        <v>6.8</v>
      </c>
      <c r="R33" s="148">
        <v>6.6</v>
      </c>
      <c r="S33" s="148">
        <v>6.4</v>
      </c>
      <c r="T33" s="148">
        <v>6.2</v>
      </c>
      <c r="U33" s="147">
        <v>6.1</v>
      </c>
      <c r="V33" s="147">
        <v>6</v>
      </c>
      <c r="W33" s="147">
        <v>2000</v>
      </c>
      <c r="X33" s="147">
        <v>1900</v>
      </c>
      <c r="Y33" s="147">
        <v>1800</v>
      </c>
      <c r="Z33" s="147">
        <v>1700</v>
      </c>
      <c r="AA33" s="147">
        <v>1600</v>
      </c>
      <c r="AB33" s="147">
        <v>1500</v>
      </c>
      <c r="AC33" s="147">
        <v>1400</v>
      </c>
      <c r="AD33" s="147">
        <v>1300</v>
      </c>
      <c r="AE33" s="147">
        <v>1200</v>
      </c>
      <c r="AI33" s="150" t="s">
        <v>2556</v>
      </c>
      <c r="AJ33" s="148">
        <v>8</v>
      </c>
      <c r="AK33" s="148">
        <v>7.8</v>
      </c>
      <c r="AL33" s="148">
        <v>7.6</v>
      </c>
      <c r="AM33" s="148">
        <v>7.4</v>
      </c>
      <c r="AN33" s="148">
        <v>7.2</v>
      </c>
      <c r="AP33" s="144" t="s">
        <v>2485</v>
      </c>
      <c r="AQ33" s="141">
        <v>2.59</v>
      </c>
      <c r="AR33" s="141">
        <v>2.59</v>
      </c>
      <c r="AS33" s="141">
        <v>2.59</v>
      </c>
      <c r="AT33" s="141">
        <v>2.59</v>
      </c>
      <c r="AU33" s="141">
        <v>2.59</v>
      </c>
      <c r="AV33" s="141">
        <v>2.59</v>
      </c>
      <c r="AW33" s="141">
        <v>2.59</v>
      </c>
      <c r="AX33" s="126" t="s">
        <v>2590</v>
      </c>
    </row>
    <row r="34" spans="1:50" ht="21">
      <c r="A34" s="150" t="str">
        <f>IF(Главная!$P$9="Дол.",AX34,IF(Главная!$P$9="гривен.",AP34,IF(Главная!$P$9="рублей.",AI34,AP34)))</f>
        <v>Берегомет</v>
      </c>
      <c r="B34" s="150">
        <v>6309637</v>
      </c>
      <c r="C34" s="149"/>
      <c r="D34" s="147"/>
      <c r="E34" s="147">
        <v>290</v>
      </c>
      <c r="F34" s="147">
        <v>300</v>
      </c>
      <c r="G34" s="147">
        <v>310</v>
      </c>
      <c r="H34" s="147">
        <v>320</v>
      </c>
      <c r="I34" s="147">
        <v>330</v>
      </c>
      <c r="J34" s="147">
        <v>8.1999999999999993</v>
      </c>
      <c r="K34" s="162">
        <f>IF(Главная!$P$9="Дол.",AY34,IF(Главная!$P$9="гривен.",AQ34,IF(Главная!$P$9="рублей.",AJ34,AQ34)))</f>
        <v>2.59</v>
      </c>
      <c r="L34" s="162">
        <f>IF(Главная!$P$9="Дол.",AZ34,IF(Главная!$P$9="гривен.",AR34,IF(Главная!$P$9="рублей.",AK34,AR34)))</f>
        <v>2.59</v>
      </c>
      <c r="M34" s="162">
        <f>IF(Главная!$P$9="Дол.",BA34,IF(Главная!$P$9="гривен.",AS34,IF(Главная!$P$9="рублей.",AL34,AS34)))</f>
        <v>2.59</v>
      </c>
      <c r="N34" s="162">
        <f>IF(Главная!$P$9="Дол.",BB34,IF(Главная!$P$9="гривен.",AT34,IF(Главная!$P$9="рублей.",AM34,AT34)))</f>
        <v>2.59</v>
      </c>
      <c r="O34" s="162">
        <f>IF(Главная!$P$9="Дол.",BC34,IF(Главная!$P$9="гривен.",AU34,IF(Главная!$P$9="рублей.",AN34,AU34)))</f>
        <v>2.59</v>
      </c>
      <c r="P34" s="148">
        <v>5.8</v>
      </c>
      <c r="Q34" s="148">
        <v>5.7</v>
      </c>
      <c r="R34" s="148">
        <v>5.6</v>
      </c>
      <c r="S34" s="148">
        <v>5.5</v>
      </c>
      <c r="T34" s="148">
        <v>5.4</v>
      </c>
      <c r="U34" s="147">
        <v>5.2</v>
      </c>
      <c r="V34" s="147">
        <v>5</v>
      </c>
      <c r="W34" s="147">
        <v>1700</v>
      </c>
      <c r="X34" s="147">
        <v>1600</v>
      </c>
      <c r="Y34" s="147">
        <v>1500</v>
      </c>
      <c r="Z34" s="147">
        <v>1400</v>
      </c>
      <c r="AA34" s="147">
        <v>1350</v>
      </c>
      <c r="AB34" s="147">
        <v>1300</v>
      </c>
      <c r="AC34" s="147">
        <v>1290</v>
      </c>
      <c r="AD34" s="147">
        <v>1280</v>
      </c>
      <c r="AE34" s="147">
        <v>1250</v>
      </c>
      <c r="AI34" s="150" t="s">
        <v>1491</v>
      </c>
      <c r="AJ34" s="148">
        <v>8</v>
      </c>
      <c r="AK34" s="148">
        <v>7.5</v>
      </c>
      <c r="AL34" s="148">
        <v>7</v>
      </c>
      <c r="AM34" s="148">
        <v>6.5</v>
      </c>
      <c r="AN34" s="148">
        <v>6</v>
      </c>
      <c r="AP34" s="144" t="s">
        <v>2484</v>
      </c>
      <c r="AQ34" s="141">
        <v>2.59</v>
      </c>
      <c r="AR34" s="141">
        <v>2.59</v>
      </c>
      <c r="AS34" s="141">
        <v>2.59</v>
      </c>
      <c r="AT34" s="141">
        <v>2.59</v>
      </c>
      <c r="AU34" s="141">
        <v>2.59</v>
      </c>
      <c r="AV34" s="141">
        <v>2.59</v>
      </c>
      <c r="AW34" s="141">
        <v>2.59</v>
      </c>
      <c r="AX34" s="126" t="s">
        <v>2583</v>
      </c>
    </row>
    <row r="35" spans="1:50" ht="14.5">
      <c r="A35" s="150" t="str">
        <f>IF(Главная!$P$9="Дол.",AX35,IF(Главная!$P$9="гривен.",AP35,IF(Главная!$P$9="рублей.",AI35,AP35)))</f>
        <v>Бережаны</v>
      </c>
      <c r="B35" s="150">
        <v>6309814</v>
      </c>
      <c r="C35" s="149"/>
      <c r="D35" s="147"/>
      <c r="E35" s="147">
        <v>300</v>
      </c>
      <c r="F35" s="147">
        <v>330</v>
      </c>
      <c r="G35" s="147">
        <v>340</v>
      </c>
      <c r="H35" s="147">
        <v>350</v>
      </c>
      <c r="I35" s="147">
        <v>360</v>
      </c>
      <c r="J35" s="147">
        <v>9</v>
      </c>
      <c r="K35" s="162">
        <f>IF(Главная!$P$9="Дол.",AY35,IF(Главная!$P$9="гривен.",AQ35,IF(Главная!$P$9="рублей.",AJ35,AQ35)))</f>
        <v>2.59</v>
      </c>
      <c r="L35" s="162">
        <f>IF(Главная!$P$9="Дол.",AZ35,IF(Главная!$P$9="гривен.",AR35,IF(Главная!$P$9="рублей.",AK35,AR35)))</f>
        <v>2.59</v>
      </c>
      <c r="M35" s="162">
        <f>IF(Главная!$P$9="Дол.",BA35,IF(Главная!$P$9="гривен.",AS35,IF(Главная!$P$9="рублей.",AL35,AS35)))</f>
        <v>2.59</v>
      </c>
      <c r="N35" s="162">
        <f>IF(Главная!$P$9="Дол.",BB35,IF(Главная!$P$9="гривен.",AT35,IF(Главная!$P$9="рублей.",AM35,AT35)))</f>
        <v>2.59</v>
      </c>
      <c r="O35" s="162">
        <f>IF(Главная!$P$9="Дол.",BC35,IF(Главная!$P$9="гривен.",AU35,IF(Главная!$P$9="рублей.",AN35,AU35)))</f>
        <v>2.59</v>
      </c>
      <c r="P35" s="148">
        <v>6.5</v>
      </c>
      <c r="Q35" s="148">
        <v>6</v>
      </c>
      <c r="R35" s="148">
        <v>5.6</v>
      </c>
      <c r="S35" s="148">
        <v>5.5</v>
      </c>
      <c r="T35" s="148">
        <v>5.4</v>
      </c>
      <c r="U35" s="147">
        <v>5.2</v>
      </c>
      <c r="V35" s="147">
        <v>5</v>
      </c>
      <c r="W35" s="147">
        <v>2000</v>
      </c>
      <c r="X35" s="147">
        <v>1900</v>
      </c>
      <c r="Y35" s="147">
        <v>1800</v>
      </c>
      <c r="Z35" s="147">
        <v>1700</v>
      </c>
      <c r="AA35" s="147">
        <v>1500</v>
      </c>
      <c r="AB35" s="147">
        <v>1450</v>
      </c>
      <c r="AC35" s="147">
        <v>1400</v>
      </c>
      <c r="AD35" s="147">
        <v>1350</v>
      </c>
      <c r="AE35" s="147">
        <v>1300</v>
      </c>
      <c r="AI35" s="150" t="s">
        <v>2555</v>
      </c>
      <c r="AJ35" s="148">
        <v>9</v>
      </c>
      <c r="AK35" s="148">
        <v>8.5</v>
      </c>
      <c r="AL35" s="148">
        <v>8</v>
      </c>
      <c r="AM35" s="148">
        <v>7.5</v>
      </c>
      <c r="AN35" s="148">
        <v>7</v>
      </c>
      <c r="AP35" s="144" t="s">
        <v>2483</v>
      </c>
      <c r="AQ35" s="141">
        <v>2.59</v>
      </c>
      <c r="AR35" s="141">
        <v>2.59</v>
      </c>
      <c r="AS35" s="141">
        <v>2.59</v>
      </c>
      <c r="AT35" s="141">
        <v>2.59</v>
      </c>
      <c r="AU35" s="141">
        <v>2.59</v>
      </c>
      <c r="AV35" s="141">
        <v>2.59</v>
      </c>
      <c r="AW35" s="141">
        <v>2.59</v>
      </c>
      <c r="AX35" s="126" t="s">
        <v>2584</v>
      </c>
    </row>
    <row r="36" spans="1:50" ht="14.5">
      <c r="A36" s="150" t="str">
        <f>IF(Главная!$P$9="Дол.",AX36,IF(Главная!$P$9="гривен.",AP36,IF(Главная!$P$9="рублей.",AI36,AP36)))</f>
        <v>Березань</v>
      </c>
      <c r="B36" s="150">
        <v>6308433</v>
      </c>
      <c r="C36" s="149"/>
      <c r="D36" s="147"/>
      <c r="E36" s="147">
        <v>290</v>
      </c>
      <c r="F36" s="147">
        <v>300</v>
      </c>
      <c r="G36" s="147">
        <v>310</v>
      </c>
      <c r="H36" s="147">
        <v>320</v>
      </c>
      <c r="I36" s="147">
        <v>330</v>
      </c>
      <c r="J36" s="147">
        <v>8.1999999999999993</v>
      </c>
      <c r="K36" s="162">
        <f>IF(Главная!$P$9="Дол.",AY36,IF(Главная!$P$9="гривен.",AQ36,IF(Главная!$P$9="рублей.",AJ36,AQ36)))</f>
        <v>1.74</v>
      </c>
      <c r="L36" s="162">
        <f>IF(Главная!$P$9="Дол.",AZ36,IF(Главная!$P$9="гривен.",AR36,IF(Главная!$P$9="рублей.",AK36,AR36)))</f>
        <v>1.74</v>
      </c>
      <c r="M36" s="162">
        <f>IF(Главная!$P$9="Дол.",BA36,IF(Главная!$P$9="гривен.",AS36,IF(Главная!$P$9="рублей.",AL36,AS36)))</f>
        <v>1.74</v>
      </c>
      <c r="N36" s="162">
        <f>IF(Главная!$P$9="Дол.",BB36,IF(Главная!$P$9="гривен.",AT36,IF(Главная!$P$9="рублей.",AM36,AT36)))</f>
        <v>1.74</v>
      </c>
      <c r="O36" s="162">
        <f>IF(Главная!$P$9="Дол.",BC36,IF(Главная!$P$9="гривен.",AU36,IF(Главная!$P$9="рублей.",AN36,AU36)))</f>
        <v>1.74</v>
      </c>
      <c r="P36" s="148">
        <v>5.6</v>
      </c>
      <c r="Q36" s="148">
        <v>5.4</v>
      </c>
      <c r="R36" s="148">
        <v>5.2</v>
      </c>
      <c r="S36" s="148">
        <v>5</v>
      </c>
      <c r="T36" s="148">
        <v>4.8</v>
      </c>
      <c r="U36" s="147">
        <v>4.5999999999999996</v>
      </c>
      <c r="V36" s="147">
        <v>4.4000000000000004</v>
      </c>
      <c r="W36" s="147">
        <v>1400</v>
      </c>
      <c r="X36" s="147">
        <v>1300</v>
      </c>
      <c r="Y36" s="147">
        <v>1250</v>
      </c>
      <c r="Z36" s="147">
        <v>1230</v>
      </c>
      <c r="AA36" s="147">
        <v>1200</v>
      </c>
      <c r="AB36" s="147">
        <v>1150</v>
      </c>
      <c r="AC36" s="147">
        <v>1100</v>
      </c>
      <c r="AD36" s="147">
        <v>1050</v>
      </c>
      <c r="AE36" s="147">
        <v>1000</v>
      </c>
      <c r="AI36" s="150" t="s">
        <v>1423</v>
      </c>
      <c r="AJ36" s="148">
        <v>7</v>
      </c>
      <c r="AK36" s="148">
        <v>6.5</v>
      </c>
      <c r="AL36" s="148">
        <v>6</v>
      </c>
      <c r="AM36" s="148">
        <v>5.9</v>
      </c>
      <c r="AN36" s="148">
        <v>5.8</v>
      </c>
      <c r="AP36" s="144" t="s">
        <v>2482</v>
      </c>
      <c r="AQ36" s="141">
        <v>1.74</v>
      </c>
      <c r="AR36" s="141">
        <v>1.74</v>
      </c>
      <c r="AS36" s="141">
        <v>1.74</v>
      </c>
      <c r="AT36" s="141">
        <v>1.74</v>
      </c>
      <c r="AU36" s="141">
        <v>1.74</v>
      </c>
      <c r="AV36" s="141">
        <v>1.74</v>
      </c>
      <c r="AW36" s="141">
        <v>1.74</v>
      </c>
      <c r="AX36" s="126" t="s">
        <v>2585</v>
      </c>
    </row>
    <row r="37" spans="1:50" ht="14.5">
      <c r="A37" s="150" t="str">
        <f>IF(Главная!$P$9="Дол.",AX37,IF(Главная!$P$9="гривен.",AP37,IF(Главная!$P$9="рублей.",AI37,AP37)))</f>
        <v>Березно</v>
      </c>
      <c r="B37" s="150">
        <v>6307417</v>
      </c>
      <c r="C37" s="149"/>
      <c r="D37" s="147"/>
      <c r="E37" s="147">
        <v>290</v>
      </c>
      <c r="F37" s="147">
        <v>300</v>
      </c>
      <c r="G37" s="147">
        <v>310</v>
      </c>
      <c r="H37" s="147">
        <v>320</v>
      </c>
      <c r="I37" s="147">
        <v>330</v>
      </c>
      <c r="J37" s="147">
        <v>8.1999999999999993</v>
      </c>
      <c r="K37" s="162">
        <f>IF(Главная!$P$9="Дол.",AY37,IF(Главная!$P$9="гривен.",AQ37,IF(Главная!$P$9="рублей.",AJ37,AQ37)))</f>
        <v>2.12</v>
      </c>
      <c r="L37" s="162">
        <f>IF(Главная!$P$9="Дол.",AZ37,IF(Главная!$P$9="гривен.",AR37,IF(Главная!$P$9="рублей.",AK37,AR37)))</f>
        <v>2.12</v>
      </c>
      <c r="M37" s="162">
        <f>IF(Главная!$P$9="Дол.",BA37,IF(Главная!$P$9="гривен.",AS37,IF(Главная!$P$9="рублей.",AL37,AS37)))</f>
        <v>2.12</v>
      </c>
      <c r="N37" s="162">
        <f>IF(Главная!$P$9="Дол.",BB37,IF(Главная!$P$9="гривен.",AT37,IF(Главная!$P$9="рублей.",AM37,AT37)))</f>
        <v>2.12</v>
      </c>
      <c r="O37" s="162">
        <f>IF(Главная!$P$9="Дол.",BC37,IF(Главная!$P$9="гривен.",AU37,IF(Главная!$P$9="рублей.",AN37,AU37)))</f>
        <v>2.12</v>
      </c>
      <c r="P37" s="148">
        <v>5.8</v>
      </c>
      <c r="Q37" s="148">
        <v>5.6</v>
      </c>
      <c r="R37" s="148">
        <v>5.4</v>
      </c>
      <c r="S37" s="148">
        <v>5.2</v>
      </c>
      <c r="T37" s="148">
        <v>5</v>
      </c>
      <c r="U37" s="147">
        <v>4.8</v>
      </c>
      <c r="V37" s="147">
        <v>4.5999999999999996</v>
      </c>
      <c r="W37" s="147">
        <v>1500</v>
      </c>
      <c r="X37" s="147">
        <v>1400</v>
      </c>
      <c r="Y37" s="147">
        <v>1350</v>
      </c>
      <c r="Z37" s="147">
        <v>1300</v>
      </c>
      <c r="AA37" s="147">
        <v>1250</v>
      </c>
      <c r="AB37" s="147">
        <v>1200</v>
      </c>
      <c r="AC37" s="147">
        <v>1150</v>
      </c>
      <c r="AD37" s="147">
        <v>1100</v>
      </c>
      <c r="AE37" s="147">
        <v>1000</v>
      </c>
      <c r="AI37" s="150" t="s">
        <v>1411</v>
      </c>
      <c r="AJ37" s="148">
        <v>7.5</v>
      </c>
      <c r="AK37" s="148">
        <v>7</v>
      </c>
      <c r="AL37" s="148">
        <v>6.4</v>
      </c>
      <c r="AM37" s="148">
        <v>6.2</v>
      </c>
      <c r="AN37" s="148">
        <v>6</v>
      </c>
      <c r="AP37" s="144" t="s">
        <v>2481</v>
      </c>
      <c r="AQ37" s="141">
        <v>2.12</v>
      </c>
      <c r="AR37" s="141">
        <v>2.12</v>
      </c>
      <c r="AS37" s="141">
        <v>2.12</v>
      </c>
      <c r="AT37" s="141">
        <v>2.12</v>
      </c>
      <c r="AU37" s="141">
        <v>2.12</v>
      </c>
      <c r="AV37" s="141">
        <v>2.12</v>
      </c>
      <c r="AW37" s="141">
        <v>2.12</v>
      </c>
      <c r="AX37" s="126" t="s">
        <v>2586</v>
      </c>
    </row>
    <row r="38" spans="1:50" ht="14.5">
      <c r="A38" s="150" t="str">
        <f>IF(Главная!$P$9="Дол.",AX38,IF(Главная!$P$9="гривен.",AP38,IF(Главная!$P$9="рублей.",AI38,AP38)))</f>
        <v>Березовка</v>
      </c>
      <c r="B38" s="150">
        <v>6308451</v>
      </c>
      <c r="C38" s="149"/>
      <c r="D38" s="147"/>
      <c r="E38" s="147">
        <v>300</v>
      </c>
      <c r="F38" s="147">
        <v>400</v>
      </c>
      <c r="G38" s="147">
        <v>420</v>
      </c>
      <c r="H38" s="147">
        <v>430</v>
      </c>
      <c r="I38" s="147">
        <v>440</v>
      </c>
      <c r="J38" s="147">
        <v>11</v>
      </c>
      <c r="K38" s="162">
        <f>IF(Главная!$P$9="Дол.",AY38,IF(Главная!$P$9="гривен.",AQ38,IF(Главная!$P$9="рублей.",AJ38,AQ38)))</f>
        <v>2.12</v>
      </c>
      <c r="L38" s="162">
        <f>IF(Главная!$P$9="Дол.",AZ38,IF(Главная!$P$9="гривен.",AR38,IF(Главная!$P$9="рублей.",AK38,AR38)))</f>
        <v>2.12</v>
      </c>
      <c r="M38" s="162">
        <f>IF(Главная!$P$9="Дол.",BA38,IF(Главная!$P$9="гривен.",AS38,IF(Главная!$P$9="рублей.",AL38,AS38)))</f>
        <v>2.12</v>
      </c>
      <c r="N38" s="162">
        <f>IF(Главная!$P$9="Дол.",BB38,IF(Главная!$P$9="гривен.",AT38,IF(Главная!$P$9="рублей.",AM38,AT38)))</f>
        <v>2.12</v>
      </c>
      <c r="O38" s="162">
        <f>IF(Главная!$P$9="Дол.",BC38,IF(Главная!$P$9="гривен.",AU38,IF(Главная!$P$9="рублей.",AN38,AU38)))</f>
        <v>2.12</v>
      </c>
      <c r="P38" s="148">
        <v>10.199999999999999</v>
      </c>
      <c r="Q38" s="148">
        <v>10</v>
      </c>
      <c r="R38" s="148">
        <v>9.8000000000000007</v>
      </c>
      <c r="S38" s="148">
        <v>9.6</v>
      </c>
      <c r="T38" s="148">
        <v>9.4</v>
      </c>
      <c r="U38" s="147">
        <v>9.1999999999999993</v>
      </c>
      <c r="V38" s="147">
        <v>9</v>
      </c>
      <c r="W38" s="147">
        <v>2600</v>
      </c>
      <c r="X38" s="147">
        <v>2500</v>
      </c>
      <c r="Y38" s="147">
        <v>2400</v>
      </c>
      <c r="Z38" s="147">
        <v>2350</v>
      </c>
      <c r="AA38" s="147">
        <v>2300</v>
      </c>
      <c r="AB38" s="147">
        <v>2250</v>
      </c>
      <c r="AC38" s="147">
        <v>2200</v>
      </c>
      <c r="AD38" s="147">
        <v>2150</v>
      </c>
      <c r="AE38" s="147">
        <v>2100</v>
      </c>
      <c r="AI38" s="150" t="s">
        <v>1393</v>
      </c>
      <c r="AJ38" s="148">
        <v>11</v>
      </c>
      <c r="AK38" s="148">
        <v>10.9</v>
      </c>
      <c r="AL38" s="148">
        <v>10.8</v>
      </c>
      <c r="AM38" s="148">
        <v>10.6</v>
      </c>
      <c r="AN38" s="148">
        <v>10.4</v>
      </c>
      <c r="AP38" s="144" t="s">
        <v>2480</v>
      </c>
      <c r="AQ38" s="141">
        <v>2.12</v>
      </c>
      <c r="AR38" s="141">
        <v>2.12</v>
      </c>
      <c r="AS38" s="141">
        <v>2.12</v>
      </c>
      <c r="AT38" s="141">
        <v>2.12</v>
      </c>
      <c r="AU38" s="141">
        <v>2.12</v>
      </c>
      <c r="AV38" s="141">
        <v>2.12</v>
      </c>
      <c r="AW38" s="141">
        <v>2.12</v>
      </c>
      <c r="AX38" s="126" t="s">
        <v>2587</v>
      </c>
    </row>
    <row r="39" spans="1:50" ht="14.5">
      <c r="A39" s="150" t="str">
        <f>IF(Главная!$P$9="Дол.",AX39,IF(Главная!$P$9="гривен.",AP39,IF(Главная!$P$9="рублей.",AI39,AP39)))</f>
        <v>Берислав</v>
      </c>
      <c r="B39" s="150">
        <v>6309803</v>
      </c>
      <c r="C39" s="149"/>
      <c r="D39" s="147"/>
      <c r="E39" s="147">
        <v>300</v>
      </c>
      <c r="F39" s="147">
        <v>330</v>
      </c>
      <c r="G39" s="147">
        <v>340</v>
      </c>
      <c r="H39" s="147">
        <v>350</v>
      </c>
      <c r="I39" s="147">
        <v>360</v>
      </c>
      <c r="J39" s="147">
        <v>9</v>
      </c>
      <c r="K39" s="162">
        <f>IF(Главная!$P$9="Дол.",AY39,IF(Главная!$P$9="гривен.",AQ39,IF(Главная!$P$9="рублей.",AJ39,AQ39)))</f>
        <v>1.74</v>
      </c>
      <c r="L39" s="162">
        <f>IF(Главная!$P$9="Дол.",AZ39,IF(Главная!$P$9="гривен.",AR39,IF(Главная!$P$9="рублей.",AK39,AR39)))</f>
        <v>1.74</v>
      </c>
      <c r="M39" s="162">
        <f>IF(Главная!$P$9="Дол.",BA39,IF(Главная!$P$9="гривен.",AS39,IF(Главная!$P$9="рублей.",AL39,AS39)))</f>
        <v>1.74</v>
      </c>
      <c r="N39" s="162">
        <f>IF(Главная!$P$9="Дол.",BB39,IF(Главная!$P$9="гривен.",AT39,IF(Главная!$P$9="рублей.",AM39,AT39)))</f>
        <v>1.74</v>
      </c>
      <c r="O39" s="162">
        <f>IF(Главная!$P$9="Дол.",BC39,IF(Главная!$P$9="гривен.",AU39,IF(Главная!$P$9="рублей.",AN39,AU39)))</f>
        <v>1.74</v>
      </c>
      <c r="P39" s="148">
        <v>6</v>
      </c>
      <c r="Q39" s="148">
        <v>5.8</v>
      </c>
      <c r="R39" s="148">
        <v>5.6</v>
      </c>
      <c r="S39" s="148">
        <v>5.4</v>
      </c>
      <c r="T39" s="148">
        <v>5.2</v>
      </c>
      <c r="U39" s="147">
        <v>5</v>
      </c>
      <c r="V39" s="147">
        <v>5</v>
      </c>
      <c r="W39" s="147">
        <v>2000</v>
      </c>
      <c r="X39" s="147">
        <v>1900</v>
      </c>
      <c r="Y39" s="147">
        <v>1800</v>
      </c>
      <c r="Z39" s="147">
        <v>1600</v>
      </c>
      <c r="AA39" s="147">
        <v>1400</v>
      </c>
      <c r="AB39" s="147">
        <v>1300</v>
      </c>
      <c r="AC39" s="147">
        <v>1200</v>
      </c>
      <c r="AD39" s="147">
        <v>1100</v>
      </c>
      <c r="AE39" s="147">
        <v>1000</v>
      </c>
      <c r="AI39" s="150" t="s">
        <v>2554</v>
      </c>
      <c r="AJ39" s="148">
        <v>9</v>
      </c>
      <c r="AK39" s="148">
        <v>8.5</v>
      </c>
      <c r="AL39" s="148">
        <v>8</v>
      </c>
      <c r="AM39" s="148">
        <v>7</v>
      </c>
      <c r="AN39" s="148">
        <v>6.5</v>
      </c>
      <c r="AP39" s="144" t="s">
        <v>2479</v>
      </c>
      <c r="AQ39" s="141">
        <v>1.74</v>
      </c>
      <c r="AR39" s="141">
        <v>1.74</v>
      </c>
      <c r="AS39" s="141">
        <v>1.74</v>
      </c>
      <c r="AT39" s="141">
        <v>1.74</v>
      </c>
      <c r="AU39" s="141">
        <v>1.74</v>
      </c>
      <c r="AV39" s="141">
        <v>1.74</v>
      </c>
      <c r="AW39" s="141">
        <v>1.74</v>
      </c>
      <c r="AX39" s="126" t="s">
        <v>2588</v>
      </c>
    </row>
    <row r="40" spans="1:50" ht="21">
      <c r="A40" s="150" t="str">
        <f>IF(Главная!$P$9="Дол.",AX40,IF(Главная!$P$9="гривен.",AP40,IF(Главная!$P$9="рублей.",AI40,AP40)))</f>
        <v>Бершадь</v>
      </c>
      <c r="B40" s="150">
        <v>6307360</v>
      </c>
      <c r="C40" s="149"/>
      <c r="D40" s="147"/>
      <c r="E40" s="147">
        <v>300</v>
      </c>
      <c r="F40" s="147">
        <v>370</v>
      </c>
      <c r="G40" s="147">
        <v>380</v>
      </c>
      <c r="H40" s="147">
        <v>390</v>
      </c>
      <c r="I40" s="147">
        <v>400</v>
      </c>
      <c r="J40" s="147">
        <v>10</v>
      </c>
      <c r="K40" s="162">
        <f>IF(Главная!$P$9="Дол.",AY40,IF(Главная!$P$9="гривен.",AQ40,IF(Главная!$P$9="рублей.",AJ40,AQ40)))</f>
        <v>2.59</v>
      </c>
      <c r="L40" s="162">
        <f>IF(Главная!$P$9="Дол.",AZ40,IF(Главная!$P$9="гривен.",AR40,IF(Главная!$P$9="рублей.",AK40,AR40)))</f>
        <v>2.59</v>
      </c>
      <c r="M40" s="162">
        <f>IF(Главная!$P$9="Дол.",BA40,IF(Главная!$P$9="гривен.",AS40,IF(Главная!$P$9="рублей.",AL40,AS40)))</f>
        <v>2.59</v>
      </c>
      <c r="N40" s="162">
        <f>IF(Главная!$P$9="Дол.",BB40,IF(Главная!$P$9="гривен.",AT40,IF(Главная!$P$9="рублей.",AM40,AT40)))</f>
        <v>2.59</v>
      </c>
      <c r="O40" s="162">
        <f>IF(Главная!$P$9="Дол.",BC40,IF(Главная!$P$9="гривен.",AU40,IF(Главная!$P$9="рублей.",AN40,AU40)))</f>
        <v>2.59</v>
      </c>
      <c r="P40" s="148">
        <v>8.1999999999999993</v>
      </c>
      <c r="Q40" s="148">
        <v>8</v>
      </c>
      <c r="R40" s="148">
        <v>7.8</v>
      </c>
      <c r="S40" s="148">
        <v>7.6</v>
      </c>
      <c r="T40" s="148">
        <v>7.4</v>
      </c>
      <c r="U40" s="147">
        <v>7.2</v>
      </c>
      <c r="V40" s="147">
        <v>7</v>
      </c>
      <c r="W40" s="147">
        <v>2000</v>
      </c>
      <c r="X40" s="147">
        <v>1950</v>
      </c>
      <c r="Y40" s="147">
        <v>1900</v>
      </c>
      <c r="Z40" s="147">
        <v>1850</v>
      </c>
      <c r="AA40" s="147">
        <v>1800</v>
      </c>
      <c r="AB40" s="147">
        <v>1750</v>
      </c>
      <c r="AC40" s="147">
        <v>1700</v>
      </c>
      <c r="AD40" s="147">
        <v>1680</v>
      </c>
      <c r="AE40" s="147">
        <v>1650</v>
      </c>
      <c r="AI40" s="150" t="s">
        <v>1374</v>
      </c>
      <c r="AJ40" s="148">
        <v>10</v>
      </c>
      <c r="AK40" s="148">
        <v>9</v>
      </c>
      <c r="AL40" s="148">
        <v>8.8000000000000007</v>
      </c>
      <c r="AM40" s="148">
        <v>8.6</v>
      </c>
      <c r="AN40" s="148">
        <v>8.4</v>
      </c>
      <c r="AP40" s="144" t="s">
        <v>2478</v>
      </c>
      <c r="AQ40" s="141">
        <v>2.59</v>
      </c>
      <c r="AR40" s="141">
        <v>2.59</v>
      </c>
      <c r="AS40" s="141">
        <v>2.59</v>
      </c>
      <c r="AT40" s="141">
        <v>2.59</v>
      </c>
      <c r="AU40" s="141">
        <v>2.59</v>
      </c>
      <c r="AV40" s="141">
        <v>2.59</v>
      </c>
      <c r="AW40" s="141">
        <v>2.59</v>
      </c>
      <c r="AX40" s="126" t="s">
        <v>2589</v>
      </c>
    </row>
    <row r="41" spans="1:50" ht="14.5">
      <c r="A41" s="150" t="str">
        <f>IF(Главная!$P$9="Дол.",AX41,IF(Главная!$P$9="гривен.",AP41,IF(Главная!$P$9="рублей.",AI41,AP41)))</f>
        <v>Бобринец</v>
      </c>
      <c r="B41" s="150">
        <v>6308558</v>
      </c>
      <c r="C41" s="149"/>
      <c r="D41" s="147">
        <v>3640</v>
      </c>
      <c r="E41" s="147"/>
      <c r="F41" s="147"/>
      <c r="G41" s="147"/>
      <c r="H41" s="147"/>
      <c r="I41" s="147"/>
      <c r="J41" s="147"/>
      <c r="K41" s="162">
        <f>IF(Главная!$P$9="Дол.",AY41,IF(Главная!$P$9="гривен.",AQ41,IF(Главная!$P$9="рублей.",AJ41,AQ41)))</f>
        <v>2.12</v>
      </c>
      <c r="L41" s="162">
        <f>IF(Главная!$P$9="Дол.",AZ41,IF(Главная!$P$9="гривен.",AR41,IF(Главная!$P$9="рублей.",AK41,AR41)))</f>
        <v>2.12</v>
      </c>
      <c r="M41" s="162">
        <f>IF(Главная!$P$9="Дол.",BA41,IF(Главная!$P$9="гривен.",AS41,IF(Главная!$P$9="рублей.",AL41,AS41)))</f>
        <v>2.12</v>
      </c>
      <c r="N41" s="162">
        <f>IF(Главная!$P$9="Дол.",BB41,IF(Главная!$P$9="гривен.",AT41,IF(Главная!$P$9="рублей.",AM41,AT41)))</f>
        <v>2.12</v>
      </c>
      <c r="O41" s="162">
        <f>IF(Главная!$P$9="Дол.",BC41,IF(Главная!$P$9="гривен.",AU41,IF(Главная!$P$9="рублей.",AN41,AU41)))</f>
        <v>2.12</v>
      </c>
      <c r="P41" s="148">
        <v>2.8</v>
      </c>
      <c r="Q41" s="148">
        <v>2.1</v>
      </c>
      <c r="R41" s="148">
        <v>1.9</v>
      </c>
      <c r="S41" s="148">
        <v>1.7</v>
      </c>
      <c r="T41" s="148">
        <v>1.4</v>
      </c>
      <c r="U41" s="147">
        <v>1</v>
      </c>
      <c r="V41" s="147">
        <v>1</v>
      </c>
      <c r="W41" s="147"/>
      <c r="X41" s="147">
        <v>1160</v>
      </c>
      <c r="Y41" s="147">
        <v>1050</v>
      </c>
      <c r="Z41" s="147">
        <v>660</v>
      </c>
      <c r="AA41" s="147">
        <v>600</v>
      </c>
      <c r="AB41" s="147">
        <v>510</v>
      </c>
      <c r="AC41" s="147">
        <v>420</v>
      </c>
      <c r="AD41" s="147">
        <v>280</v>
      </c>
      <c r="AE41" s="147">
        <v>260</v>
      </c>
      <c r="AI41" s="150" t="s">
        <v>2553</v>
      </c>
      <c r="AJ41" s="148"/>
      <c r="AK41" s="148">
        <v>6.1</v>
      </c>
      <c r="AL41" s="148">
        <v>4.5999999999999996</v>
      </c>
      <c r="AM41" s="148">
        <v>4</v>
      </c>
      <c r="AN41" s="148">
        <v>3.6</v>
      </c>
      <c r="AP41" s="144" t="s">
        <v>2477</v>
      </c>
      <c r="AQ41" s="141">
        <v>2.12</v>
      </c>
      <c r="AR41" s="141">
        <v>2.12</v>
      </c>
      <c r="AS41" s="141">
        <v>2.12</v>
      </c>
      <c r="AT41" s="141">
        <v>2.12</v>
      </c>
      <c r="AU41" s="141">
        <v>2.12</v>
      </c>
      <c r="AV41" s="141">
        <v>2.12</v>
      </c>
      <c r="AW41" s="141">
        <v>2.12</v>
      </c>
      <c r="AX41" s="126" t="s">
        <v>2590</v>
      </c>
    </row>
    <row r="42" spans="1:50" ht="14.5">
      <c r="A42" s="150" t="str">
        <f>IF(Главная!$P$9="Дол.",AX42,IF(Главная!$P$9="гривен.",AP42,IF(Главная!$P$9="рублей.",AI42,AP42)))</f>
        <v>Болград</v>
      </c>
      <c r="B42" s="150">
        <v>6307390</v>
      </c>
      <c r="C42" s="151" t="s">
        <v>2513</v>
      </c>
      <c r="D42" s="147"/>
      <c r="E42" s="147">
        <v>290</v>
      </c>
      <c r="F42" s="147">
        <v>300</v>
      </c>
      <c r="G42" s="147">
        <v>310</v>
      </c>
      <c r="H42" s="147">
        <v>320</v>
      </c>
      <c r="I42" s="147">
        <v>330</v>
      </c>
      <c r="J42" s="147">
        <v>8.1999999999999993</v>
      </c>
      <c r="K42" s="162">
        <f>IF(Главная!$P$9="Дол.",AY42,IF(Главная!$P$9="гривен.",AQ42,IF(Главная!$P$9="рублей.",AJ42,AQ42)))</f>
        <v>2.23</v>
      </c>
      <c r="L42" s="162">
        <f>IF(Главная!$P$9="Дол.",AZ42,IF(Главная!$P$9="гривен.",AR42,IF(Главная!$P$9="рублей.",AK42,AR42)))</f>
        <v>2.23</v>
      </c>
      <c r="M42" s="162">
        <f>IF(Главная!$P$9="Дол.",BA42,IF(Главная!$P$9="гривен.",AS42,IF(Главная!$P$9="рублей.",AL42,AS42)))</f>
        <v>2.23</v>
      </c>
      <c r="N42" s="162">
        <f>IF(Главная!$P$9="Дол.",BB42,IF(Главная!$P$9="гривен.",AT42,IF(Главная!$P$9="рублей.",AM42,AT42)))</f>
        <v>2.23</v>
      </c>
      <c r="O42" s="162">
        <f>IF(Главная!$P$9="Дол.",BC42,IF(Главная!$P$9="гривен.",AU42,IF(Главная!$P$9="рублей.",AN42,AU42)))</f>
        <v>2.23</v>
      </c>
      <c r="P42" s="148">
        <v>7.2</v>
      </c>
      <c r="Q42" s="148">
        <v>7.1</v>
      </c>
      <c r="R42" s="148">
        <v>6.9</v>
      </c>
      <c r="S42" s="148">
        <v>6.8</v>
      </c>
      <c r="T42" s="148">
        <v>6.7</v>
      </c>
      <c r="U42" s="147">
        <v>6.6</v>
      </c>
      <c r="V42" s="147">
        <v>6.5</v>
      </c>
      <c r="W42" s="147">
        <v>2000</v>
      </c>
      <c r="X42" s="147">
        <v>1900</v>
      </c>
      <c r="Y42" s="147">
        <v>1850</v>
      </c>
      <c r="Z42" s="147">
        <v>1830</v>
      </c>
      <c r="AA42" s="147">
        <v>1750</v>
      </c>
      <c r="AB42" s="147">
        <v>1650</v>
      </c>
      <c r="AC42" s="147">
        <v>1630</v>
      </c>
      <c r="AD42" s="147">
        <v>1600</v>
      </c>
      <c r="AE42" s="147">
        <v>1570</v>
      </c>
      <c r="AI42" s="150" t="s">
        <v>1366</v>
      </c>
      <c r="AJ42" s="148">
        <v>7.9</v>
      </c>
      <c r="AK42" s="148">
        <v>7.6</v>
      </c>
      <c r="AL42" s="148">
        <v>7.5</v>
      </c>
      <c r="AM42" s="148">
        <v>7.4</v>
      </c>
      <c r="AN42" s="148">
        <v>7.3</v>
      </c>
      <c r="AP42" s="144" t="s">
        <v>2476</v>
      </c>
      <c r="AQ42" s="141">
        <v>2.23</v>
      </c>
      <c r="AR42" s="141">
        <v>2.23</v>
      </c>
      <c r="AS42" s="141">
        <v>2.23</v>
      </c>
      <c r="AT42" s="141">
        <v>2.23</v>
      </c>
      <c r="AU42" s="141">
        <v>2.23</v>
      </c>
      <c r="AV42" s="141">
        <v>2.23</v>
      </c>
      <c r="AW42" s="141">
        <v>2.23</v>
      </c>
      <c r="AX42" s="126" t="s">
        <v>2583</v>
      </c>
    </row>
    <row r="43" spans="1:50" ht="21">
      <c r="A43" s="150" t="str">
        <f>IF(Главная!$P$9="Дол.",AX43,IF(Главная!$P$9="гривен.",AP43,IF(Главная!$P$9="рублей.",AI43,AP43)))</f>
        <v>Болехов</v>
      </c>
      <c r="B43" s="150">
        <v>6308485</v>
      </c>
      <c r="C43" s="151" t="s">
        <v>2513</v>
      </c>
      <c r="D43" s="147"/>
      <c r="E43" s="147">
        <v>300</v>
      </c>
      <c r="F43" s="147">
        <v>400</v>
      </c>
      <c r="G43" s="147">
        <v>520</v>
      </c>
      <c r="H43" s="147">
        <v>530</v>
      </c>
      <c r="I43" s="147">
        <v>540</v>
      </c>
      <c r="J43" s="147">
        <v>13.5</v>
      </c>
      <c r="K43" s="162">
        <f>IF(Главная!$P$9="Дол.",AY43,IF(Главная!$P$9="гривен.",AQ43,IF(Главная!$P$9="рублей.",AJ43,AQ43)))</f>
        <v>2.12</v>
      </c>
      <c r="L43" s="162">
        <f>IF(Главная!$P$9="Дол.",AZ43,IF(Главная!$P$9="гривен.",AR43,IF(Главная!$P$9="рублей.",AK43,AR43)))</f>
        <v>2.12</v>
      </c>
      <c r="M43" s="162">
        <f>IF(Главная!$P$9="Дол.",BA43,IF(Главная!$P$9="гривен.",AS43,IF(Главная!$P$9="рублей.",AL43,AS43)))</f>
        <v>2.12</v>
      </c>
      <c r="N43" s="162">
        <f>IF(Главная!$P$9="Дол.",BB43,IF(Главная!$P$9="гривен.",AT43,IF(Главная!$P$9="рублей.",AM43,AT43)))</f>
        <v>2.12</v>
      </c>
      <c r="O43" s="162">
        <f>IF(Главная!$P$9="Дол.",BC43,IF(Главная!$P$9="гривен.",AU43,IF(Главная!$P$9="рублей.",AN43,AU43)))</f>
        <v>2.12</v>
      </c>
      <c r="P43" s="148">
        <v>12</v>
      </c>
      <c r="Q43" s="148">
        <v>11.7</v>
      </c>
      <c r="R43" s="148">
        <v>11.3</v>
      </c>
      <c r="S43" s="148">
        <v>11</v>
      </c>
      <c r="T43" s="148">
        <v>10.7</v>
      </c>
      <c r="U43" s="147">
        <v>10.3</v>
      </c>
      <c r="V43" s="147">
        <v>10</v>
      </c>
      <c r="W43" s="147">
        <v>3500</v>
      </c>
      <c r="X43" s="147">
        <v>3300</v>
      </c>
      <c r="Y43" s="147">
        <v>3200</v>
      </c>
      <c r="Z43" s="147">
        <v>3100</v>
      </c>
      <c r="AA43" s="147">
        <v>3000</v>
      </c>
      <c r="AB43" s="147">
        <v>2900</v>
      </c>
      <c r="AC43" s="147">
        <v>2800</v>
      </c>
      <c r="AD43" s="147">
        <v>2700</v>
      </c>
      <c r="AE43" s="147">
        <v>2600</v>
      </c>
      <c r="AI43" s="150" t="s">
        <v>1356</v>
      </c>
      <c r="AJ43" s="148">
        <v>13.5</v>
      </c>
      <c r="AK43" s="148">
        <v>13.3</v>
      </c>
      <c r="AL43" s="148">
        <v>13</v>
      </c>
      <c r="AM43" s="148">
        <v>12.7</v>
      </c>
      <c r="AN43" s="148">
        <v>12.3</v>
      </c>
      <c r="AP43" s="144" t="s">
        <v>2475</v>
      </c>
      <c r="AQ43" s="141">
        <v>2.12</v>
      </c>
      <c r="AR43" s="141">
        <v>2.12</v>
      </c>
      <c r="AS43" s="141">
        <v>2.12</v>
      </c>
      <c r="AT43" s="141">
        <v>2.12</v>
      </c>
      <c r="AU43" s="141">
        <v>2.12</v>
      </c>
      <c r="AV43" s="141">
        <v>2.12</v>
      </c>
      <c r="AW43" s="141">
        <v>2.12</v>
      </c>
      <c r="AX43" s="126" t="s">
        <v>2584</v>
      </c>
    </row>
    <row r="44" spans="1:50" ht="14.5">
      <c r="A44" s="150" t="str">
        <f>IF(Главная!$P$9="Дол.",AX44,IF(Главная!$P$9="гривен.",AP44,IF(Главная!$P$9="рублей.",AI44,AP44)))</f>
        <v>Борзна</v>
      </c>
      <c r="B44" s="150">
        <v>6308535</v>
      </c>
      <c r="C44" s="149"/>
      <c r="D44" s="147">
        <v>800</v>
      </c>
      <c r="E44" s="147"/>
      <c r="F44" s="147"/>
      <c r="G44" s="147"/>
      <c r="H44" s="147"/>
      <c r="I44" s="147"/>
      <c r="J44" s="147"/>
      <c r="K44" s="162">
        <f>IF(Главная!$P$9="Дол.",AY44,IF(Главная!$P$9="гривен.",AQ44,IF(Главная!$P$9="рублей.",AJ44,AQ44)))</f>
        <v>1.74</v>
      </c>
      <c r="L44" s="162">
        <f>IF(Главная!$P$9="Дол.",AZ44,IF(Главная!$P$9="гривен.",AR44,IF(Главная!$P$9="рублей.",AK44,AR44)))</f>
        <v>1.74</v>
      </c>
      <c r="M44" s="162">
        <f>IF(Главная!$P$9="Дол.",BA44,IF(Главная!$P$9="гривен.",AS44,IF(Главная!$P$9="рублей.",AL44,AS44)))</f>
        <v>1.74</v>
      </c>
      <c r="N44" s="162">
        <f>IF(Главная!$P$9="Дол.",BB44,IF(Главная!$P$9="гривен.",AT44,IF(Главная!$P$9="рублей.",AM44,AT44)))</f>
        <v>1.74</v>
      </c>
      <c r="O44" s="162">
        <f>IF(Главная!$P$9="Дол.",BC44,IF(Главная!$P$9="гривен.",AU44,IF(Главная!$P$9="рублей.",AN44,AU44)))</f>
        <v>1.74</v>
      </c>
      <c r="P44" s="148">
        <v>0.9</v>
      </c>
      <c r="Q44" s="148">
        <v>0.7</v>
      </c>
      <c r="R44" s="148">
        <v>0.6</v>
      </c>
      <c r="S44" s="148">
        <v>0.5</v>
      </c>
      <c r="T44" s="148">
        <v>0.4</v>
      </c>
      <c r="U44" s="147">
        <v>0.4</v>
      </c>
      <c r="V44" s="147">
        <v>0.4</v>
      </c>
      <c r="W44" s="147"/>
      <c r="X44" s="147">
        <v>290</v>
      </c>
      <c r="Y44" s="147">
        <v>260</v>
      </c>
      <c r="Z44" s="147">
        <v>210</v>
      </c>
      <c r="AA44" s="147">
        <v>190</v>
      </c>
      <c r="AB44" s="147">
        <v>160</v>
      </c>
      <c r="AC44" s="147">
        <v>130</v>
      </c>
      <c r="AD44" s="147">
        <v>110</v>
      </c>
      <c r="AE44" s="147">
        <v>100</v>
      </c>
      <c r="AI44" s="150" t="s">
        <v>2552</v>
      </c>
      <c r="AJ44" s="148"/>
      <c r="AK44" s="148">
        <v>1.9</v>
      </c>
      <c r="AL44" s="148">
        <v>1.4</v>
      </c>
      <c r="AM44" s="148">
        <v>1.3</v>
      </c>
      <c r="AN44" s="148">
        <v>1.1000000000000001</v>
      </c>
      <c r="AP44" s="144" t="s">
        <v>2474</v>
      </c>
      <c r="AQ44" s="141">
        <v>1.74</v>
      </c>
      <c r="AR44" s="141">
        <v>1.74</v>
      </c>
      <c r="AS44" s="141">
        <v>1.74</v>
      </c>
      <c r="AT44" s="141">
        <v>1.74</v>
      </c>
      <c r="AU44" s="141">
        <v>1.74</v>
      </c>
      <c r="AV44" s="141">
        <v>1.74</v>
      </c>
      <c r="AW44" s="141">
        <v>1.74</v>
      </c>
      <c r="AX44" s="126" t="s">
        <v>2585</v>
      </c>
    </row>
    <row r="45" spans="1:50" ht="14.5">
      <c r="A45" s="150" t="str">
        <f>IF(Главная!$P$9="Дол.",AX45,IF(Главная!$P$9="гривен.",AP45,IF(Главная!$P$9="рублей.",AI45,AP45)))</f>
        <v>Борислав</v>
      </c>
      <c r="B45" s="150">
        <v>6307502</v>
      </c>
      <c r="C45" s="149"/>
      <c r="D45" s="147"/>
      <c r="E45" s="147">
        <v>300</v>
      </c>
      <c r="F45" s="147">
        <v>400</v>
      </c>
      <c r="G45" s="147">
        <v>440</v>
      </c>
      <c r="H45" s="147">
        <v>450</v>
      </c>
      <c r="I45" s="147">
        <v>460</v>
      </c>
      <c r="J45" s="147">
        <v>11.5</v>
      </c>
      <c r="K45" s="162">
        <f>IF(Главная!$P$9="Дол.",AY45,IF(Главная!$P$9="гривен.",AQ45,IF(Главная!$P$9="рублей.",AJ45,AQ45)))</f>
        <v>2.12</v>
      </c>
      <c r="L45" s="162">
        <f>IF(Главная!$P$9="Дол.",AZ45,IF(Главная!$P$9="гривен.",AR45,IF(Главная!$P$9="рублей.",AK45,AR45)))</f>
        <v>2.12</v>
      </c>
      <c r="M45" s="162">
        <f>IF(Главная!$P$9="Дол.",BA45,IF(Главная!$P$9="гривен.",AS45,IF(Главная!$P$9="рублей.",AL45,AS45)))</f>
        <v>2.12</v>
      </c>
      <c r="N45" s="162">
        <f>IF(Главная!$P$9="Дол.",BB45,IF(Главная!$P$9="гривен.",AT45,IF(Главная!$P$9="рублей.",AM45,AT45)))</f>
        <v>2.12</v>
      </c>
      <c r="O45" s="162">
        <f>IF(Главная!$P$9="Дол.",BC45,IF(Главная!$P$9="гривен.",AU45,IF(Главная!$P$9="рублей.",AN45,AU45)))</f>
        <v>2.12</v>
      </c>
      <c r="P45" s="148">
        <v>9.9</v>
      </c>
      <c r="Q45" s="148">
        <v>9.6999999999999993</v>
      </c>
      <c r="R45" s="148">
        <v>9.5</v>
      </c>
      <c r="S45" s="148">
        <v>9.3000000000000007</v>
      </c>
      <c r="T45" s="148">
        <v>9.1</v>
      </c>
      <c r="U45" s="147">
        <v>8.9</v>
      </c>
      <c r="V45" s="147">
        <v>8.6999999999999993</v>
      </c>
      <c r="W45" s="147">
        <v>2550</v>
      </c>
      <c r="X45" s="147">
        <v>2450</v>
      </c>
      <c r="Y45" s="147">
        <v>2400</v>
      </c>
      <c r="Z45" s="147">
        <v>2300</v>
      </c>
      <c r="AA45" s="147">
        <v>2250</v>
      </c>
      <c r="AB45" s="147">
        <v>2150</v>
      </c>
      <c r="AC45" s="147">
        <v>2100</v>
      </c>
      <c r="AD45" s="147">
        <v>2050</v>
      </c>
      <c r="AE45" s="147">
        <v>1950</v>
      </c>
      <c r="AI45" s="150" t="s">
        <v>1334</v>
      </c>
      <c r="AJ45" s="148">
        <v>11</v>
      </c>
      <c r="AK45" s="148">
        <v>10.7</v>
      </c>
      <c r="AL45" s="148">
        <v>10.5</v>
      </c>
      <c r="AM45" s="148">
        <v>10.3</v>
      </c>
      <c r="AN45" s="148">
        <v>10.1</v>
      </c>
      <c r="AP45" s="144" t="s">
        <v>2473</v>
      </c>
      <c r="AQ45" s="141">
        <v>2.12</v>
      </c>
      <c r="AR45" s="141">
        <v>2.12</v>
      </c>
      <c r="AS45" s="141">
        <v>2.12</v>
      </c>
      <c r="AT45" s="141">
        <v>2.12</v>
      </c>
      <c r="AU45" s="141">
        <v>2.12</v>
      </c>
      <c r="AV45" s="141">
        <v>2.12</v>
      </c>
      <c r="AW45" s="141">
        <v>2.12</v>
      </c>
      <c r="AX45" s="126" t="s">
        <v>2586</v>
      </c>
    </row>
    <row r="46" spans="1:50" ht="14.5">
      <c r="A46" s="150" t="str">
        <f>IF(Главная!$P$9="Дол.",AX46,IF(Главная!$P$9="гривен.",AP46,IF(Главная!$P$9="рублей.",AI46,AP46)))</f>
        <v>Борисполь</v>
      </c>
      <c r="B46" s="150">
        <v>6489584</v>
      </c>
      <c r="C46" s="149"/>
      <c r="D46" s="147"/>
      <c r="E46" s="147">
        <v>600</v>
      </c>
      <c r="F46" s="147">
        <v>800</v>
      </c>
      <c r="G46" s="147">
        <v>960</v>
      </c>
      <c r="H46" s="147">
        <v>970</v>
      </c>
      <c r="I46" s="147">
        <v>980</v>
      </c>
      <c r="J46" s="147">
        <v>24.4</v>
      </c>
      <c r="K46" s="162">
        <f>IF(Главная!$P$9="Дол.",AY46,IF(Главная!$P$9="гривен.",AQ46,IF(Главная!$P$9="рублей.",AJ46,AQ46)))</f>
        <v>1.74</v>
      </c>
      <c r="L46" s="162">
        <f>IF(Главная!$P$9="Дол.",AZ46,IF(Главная!$P$9="гривен.",AR46,IF(Главная!$P$9="рублей.",AK46,AR46)))</f>
        <v>1.74</v>
      </c>
      <c r="M46" s="162">
        <f>IF(Главная!$P$9="Дол.",BA46,IF(Главная!$P$9="гривен.",AS46,IF(Главная!$P$9="рублей.",AL46,AS46)))</f>
        <v>1.74</v>
      </c>
      <c r="N46" s="162">
        <f>IF(Главная!$P$9="Дол.",BB46,IF(Главная!$P$9="гривен.",AT46,IF(Главная!$P$9="рублей.",AM46,AT46)))</f>
        <v>1.74</v>
      </c>
      <c r="O46" s="162">
        <f>IF(Главная!$P$9="Дол.",BC46,IF(Главная!$P$9="гривен.",AU46,IF(Главная!$P$9="рублей.",AN46,AU46)))</f>
        <v>1.74</v>
      </c>
      <c r="P46" s="148">
        <v>14.1</v>
      </c>
      <c r="Q46" s="148">
        <v>13.5</v>
      </c>
      <c r="R46" s="148">
        <v>12.9</v>
      </c>
      <c r="S46" s="148">
        <v>12.1</v>
      </c>
      <c r="T46" s="148">
        <v>11.6</v>
      </c>
      <c r="U46" s="147">
        <v>11.1</v>
      </c>
      <c r="V46" s="147">
        <v>10.5</v>
      </c>
      <c r="W46" s="147">
        <v>4150</v>
      </c>
      <c r="X46" s="147">
        <v>3950</v>
      </c>
      <c r="Y46" s="147">
        <v>3270</v>
      </c>
      <c r="Z46" s="147">
        <v>3100</v>
      </c>
      <c r="AA46" s="147">
        <v>2950</v>
      </c>
      <c r="AB46" s="147">
        <v>2800</v>
      </c>
      <c r="AC46" s="147">
        <v>2690</v>
      </c>
      <c r="AD46" s="147">
        <v>2630</v>
      </c>
      <c r="AE46" s="147">
        <v>2570</v>
      </c>
      <c r="AI46" s="150" t="s">
        <v>2551</v>
      </c>
      <c r="AJ46" s="148">
        <v>19.899999999999999</v>
      </c>
      <c r="AK46" s="148">
        <v>18.2</v>
      </c>
      <c r="AL46" s="148">
        <v>17</v>
      </c>
      <c r="AM46" s="148">
        <v>16.100000000000001</v>
      </c>
      <c r="AN46" s="148">
        <v>15.1</v>
      </c>
      <c r="AP46" s="144" t="s">
        <v>2472</v>
      </c>
      <c r="AQ46" s="141">
        <v>1.74</v>
      </c>
      <c r="AR46" s="141">
        <v>1.74</v>
      </c>
      <c r="AS46" s="141">
        <v>1.74</v>
      </c>
      <c r="AT46" s="141">
        <v>1.74</v>
      </c>
      <c r="AU46" s="141">
        <v>1.74</v>
      </c>
      <c r="AV46" s="141">
        <v>1.74</v>
      </c>
      <c r="AW46" s="141">
        <v>1.74</v>
      </c>
      <c r="AX46" s="126" t="s">
        <v>2587</v>
      </c>
    </row>
    <row r="47" spans="1:50" ht="14.5">
      <c r="A47" s="150" t="str">
        <f>IF(Главная!$P$9="Дол.",AX47,IF(Главная!$P$9="гривен.",AP47,IF(Главная!$P$9="рублей.",AI47,AP47)))</f>
        <v>Боярка</v>
      </c>
      <c r="B47" s="150">
        <v>6308540</v>
      </c>
      <c r="C47" s="151" t="s">
        <v>2513</v>
      </c>
      <c r="D47" s="147"/>
      <c r="E47" s="147">
        <v>290</v>
      </c>
      <c r="F47" s="147">
        <v>300</v>
      </c>
      <c r="G47" s="147">
        <v>310</v>
      </c>
      <c r="H47" s="147">
        <v>320</v>
      </c>
      <c r="I47" s="147">
        <v>330</v>
      </c>
      <c r="J47" s="147">
        <v>8.1999999999999993</v>
      </c>
      <c r="K47" s="162">
        <f>IF(Главная!$P$9="Дол.",AY47,IF(Главная!$P$9="гривен.",AQ47,IF(Главная!$P$9="рублей.",AJ47,AQ47)))</f>
        <v>1.74</v>
      </c>
      <c r="L47" s="162">
        <f>IF(Главная!$P$9="Дол.",AZ47,IF(Главная!$P$9="гривен.",AR47,IF(Главная!$P$9="рублей.",AK47,AR47)))</f>
        <v>1.74</v>
      </c>
      <c r="M47" s="162">
        <f>IF(Главная!$P$9="Дол.",BA47,IF(Главная!$P$9="гривен.",AS47,IF(Главная!$P$9="рублей.",AL47,AS47)))</f>
        <v>1.74</v>
      </c>
      <c r="N47" s="162">
        <f>IF(Главная!$P$9="Дол.",BB47,IF(Главная!$P$9="гривен.",AT47,IF(Главная!$P$9="рублей.",AM47,AT47)))</f>
        <v>1.74</v>
      </c>
      <c r="O47" s="162">
        <f>IF(Главная!$P$9="Дол.",BC47,IF(Главная!$P$9="гривен.",AU47,IF(Главная!$P$9="рублей.",AN47,AU47)))</f>
        <v>1.74</v>
      </c>
      <c r="P47" s="148">
        <v>4.0999999999999996</v>
      </c>
      <c r="Q47" s="148">
        <v>4</v>
      </c>
      <c r="R47" s="148">
        <v>3.9</v>
      </c>
      <c r="S47" s="148">
        <v>3.8</v>
      </c>
      <c r="T47" s="148">
        <v>3.7</v>
      </c>
      <c r="U47" s="147">
        <v>3.6</v>
      </c>
      <c r="V47" s="147">
        <v>3.5</v>
      </c>
      <c r="W47" s="147">
        <v>1200</v>
      </c>
      <c r="X47" s="147">
        <v>1100</v>
      </c>
      <c r="Y47" s="147">
        <v>900</v>
      </c>
      <c r="Z47" s="147">
        <v>850</v>
      </c>
      <c r="AA47" s="147">
        <v>800</v>
      </c>
      <c r="AB47" s="147">
        <v>780</v>
      </c>
      <c r="AC47" s="147">
        <v>770</v>
      </c>
      <c r="AD47" s="147">
        <v>760</v>
      </c>
      <c r="AE47" s="147">
        <v>750</v>
      </c>
      <c r="AI47" s="150" t="s">
        <v>1295</v>
      </c>
      <c r="AJ47" s="148">
        <v>5.4</v>
      </c>
      <c r="AK47" s="148">
        <v>4.5</v>
      </c>
      <c r="AL47" s="148">
        <v>4.4000000000000004</v>
      </c>
      <c r="AM47" s="148">
        <v>4.3</v>
      </c>
      <c r="AN47" s="148">
        <v>4.2</v>
      </c>
      <c r="AP47" s="144" t="s">
        <v>2471</v>
      </c>
      <c r="AQ47" s="141">
        <v>1.74</v>
      </c>
      <c r="AR47" s="141">
        <v>1.74</v>
      </c>
      <c r="AS47" s="141">
        <v>1.74</v>
      </c>
      <c r="AT47" s="141">
        <v>1.74</v>
      </c>
      <c r="AU47" s="141">
        <v>1.74</v>
      </c>
      <c r="AV47" s="141">
        <v>1.74</v>
      </c>
      <c r="AW47" s="141">
        <v>1.74</v>
      </c>
      <c r="AX47" s="126" t="s">
        <v>2588</v>
      </c>
    </row>
    <row r="48" spans="1:50" ht="14.5">
      <c r="A48" s="150" t="str">
        <f>IF(Главная!$P$9="Дол.",AX48,IF(Главная!$P$9="гривен.",AP48,IF(Главная!$P$9="рублей.",AI48,AP48)))</f>
        <v>Бровары</v>
      </c>
      <c r="B48" s="150">
        <v>6308572</v>
      </c>
      <c r="C48" s="149"/>
      <c r="D48" s="147"/>
      <c r="E48" s="147">
        <v>300</v>
      </c>
      <c r="F48" s="147">
        <v>400</v>
      </c>
      <c r="G48" s="147">
        <v>460</v>
      </c>
      <c r="H48" s="147">
        <v>470</v>
      </c>
      <c r="I48" s="147">
        <v>480</v>
      </c>
      <c r="J48" s="147">
        <v>12</v>
      </c>
      <c r="K48" s="162">
        <f>IF(Главная!$P$9="Дол.",AY48,IF(Главная!$P$9="гривен.",AQ48,IF(Главная!$P$9="рублей.",AJ48,AQ48)))</f>
        <v>1.74</v>
      </c>
      <c r="L48" s="162">
        <f>IF(Главная!$P$9="Дол.",AZ48,IF(Главная!$P$9="гривен.",AR48,IF(Главная!$P$9="рублей.",AK48,AR48)))</f>
        <v>1.74</v>
      </c>
      <c r="M48" s="162">
        <f>IF(Главная!$P$9="Дол.",BA48,IF(Главная!$P$9="гривен.",AS48,IF(Главная!$P$9="рублей.",AL48,AS48)))</f>
        <v>1.74</v>
      </c>
      <c r="N48" s="162">
        <f>IF(Главная!$P$9="Дол.",BB48,IF(Главная!$P$9="гривен.",AT48,IF(Главная!$P$9="рублей.",AM48,AT48)))</f>
        <v>1.74</v>
      </c>
      <c r="O48" s="162">
        <f>IF(Главная!$P$9="Дол.",BC48,IF(Главная!$P$9="гривен.",AU48,IF(Главная!$P$9="рублей.",AN48,AU48)))</f>
        <v>1.74</v>
      </c>
      <c r="P48" s="148">
        <v>10.199999999999999</v>
      </c>
      <c r="Q48" s="148">
        <v>10</v>
      </c>
      <c r="R48" s="148">
        <v>9.8000000000000007</v>
      </c>
      <c r="S48" s="148">
        <v>9.6</v>
      </c>
      <c r="T48" s="148">
        <v>9.4</v>
      </c>
      <c r="U48" s="147">
        <v>9.1999999999999993</v>
      </c>
      <c r="V48" s="147">
        <v>9</v>
      </c>
      <c r="W48" s="147">
        <v>3000</v>
      </c>
      <c r="X48" s="147">
        <v>2900</v>
      </c>
      <c r="Y48" s="147">
        <v>2800</v>
      </c>
      <c r="Z48" s="147">
        <v>2750</v>
      </c>
      <c r="AA48" s="147">
        <v>2700</v>
      </c>
      <c r="AB48" s="147">
        <v>2650</v>
      </c>
      <c r="AC48" s="147">
        <v>2600</v>
      </c>
      <c r="AD48" s="147">
        <v>2550</v>
      </c>
      <c r="AE48" s="147">
        <v>2500</v>
      </c>
      <c r="AI48" s="150" t="s">
        <v>1266</v>
      </c>
      <c r="AJ48" s="148">
        <v>12</v>
      </c>
      <c r="AK48" s="148">
        <v>11</v>
      </c>
      <c r="AL48" s="148">
        <v>10.8</v>
      </c>
      <c r="AM48" s="148">
        <v>10.6</v>
      </c>
      <c r="AN48" s="148">
        <v>10.4</v>
      </c>
      <c r="AP48" s="144" t="s">
        <v>2470</v>
      </c>
      <c r="AQ48" s="141">
        <v>1.74</v>
      </c>
      <c r="AR48" s="141">
        <v>1.74</v>
      </c>
      <c r="AS48" s="141">
        <v>1.74</v>
      </c>
      <c r="AT48" s="141">
        <v>1.74</v>
      </c>
      <c r="AU48" s="141">
        <v>1.74</v>
      </c>
      <c r="AV48" s="141">
        <v>1.74</v>
      </c>
      <c r="AW48" s="141">
        <v>1.74</v>
      </c>
      <c r="AX48" s="126" t="s">
        <v>2589</v>
      </c>
    </row>
    <row r="49" spans="1:50" ht="14.5">
      <c r="A49" s="150" t="str">
        <f>IF(Главная!$P$9="Дол.",AX49,IF(Главная!$P$9="гривен.",AP49,IF(Главная!$P$9="рублей.",AI49,AP49)))</f>
        <v>Броды</v>
      </c>
      <c r="B49" s="150">
        <v>6489570</v>
      </c>
      <c r="C49" s="149"/>
      <c r="D49" s="147"/>
      <c r="E49" s="147">
        <v>600</v>
      </c>
      <c r="F49" s="147">
        <v>800</v>
      </c>
      <c r="G49" s="147">
        <v>1000</v>
      </c>
      <c r="H49" s="147">
        <v>1120</v>
      </c>
      <c r="I49" s="147">
        <v>1130</v>
      </c>
      <c r="J49" s="147">
        <v>28.2</v>
      </c>
      <c r="K49" s="162">
        <f>IF(Главная!$P$9="Дол.",AY49,IF(Главная!$P$9="гривен.",AQ49,IF(Главная!$P$9="рублей.",AJ49,AQ49)))</f>
        <v>2.12</v>
      </c>
      <c r="L49" s="162">
        <f>IF(Главная!$P$9="Дол.",AZ49,IF(Главная!$P$9="гривен.",AR49,IF(Главная!$P$9="рублей.",AK49,AR49)))</f>
        <v>2.12</v>
      </c>
      <c r="M49" s="162">
        <f>IF(Главная!$P$9="Дол.",BA49,IF(Главная!$P$9="гривен.",AS49,IF(Главная!$P$9="рублей.",AL49,AS49)))</f>
        <v>2.12</v>
      </c>
      <c r="N49" s="162">
        <f>IF(Главная!$P$9="Дол.",BB49,IF(Главная!$P$9="гривен.",AT49,IF(Главная!$P$9="рублей.",AM49,AT49)))</f>
        <v>2.12</v>
      </c>
      <c r="O49" s="162">
        <f>IF(Главная!$P$9="Дол.",BC49,IF(Главная!$P$9="гривен.",AU49,IF(Главная!$P$9="рублей.",AN49,AU49)))</f>
        <v>2.12</v>
      </c>
      <c r="P49" s="148">
        <v>17.8</v>
      </c>
      <c r="Q49" s="148">
        <v>16.899999999999999</v>
      </c>
      <c r="R49" s="148">
        <v>15.9</v>
      </c>
      <c r="S49" s="148">
        <v>15.1</v>
      </c>
      <c r="T49" s="148">
        <v>14.2</v>
      </c>
      <c r="U49" s="147">
        <v>13.4</v>
      </c>
      <c r="V49" s="147">
        <v>12</v>
      </c>
      <c r="W49" s="147">
        <v>4950</v>
      </c>
      <c r="X49" s="147">
        <v>4800</v>
      </c>
      <c r="Y49" s="147">
        <v>4530</v>
      </c>
      <c r="Z49" s="147">
        <v>4350</v>
      </c>
      <c r="AA49" s="147">
        <v>4150</v>
      </c>
      <c r="AB49" s="147">
        <v>3950</v>
      </c>
      <c r="AC49" s="147">
        <v>3750</v>
      </c>
      <c r="AD49" s="147">
        <v>3600</v>
      </c>
      <c r="AE49" s="147">
        <v>3450</v>
      </c>
      <c r="AI49" s="150" t="s">
        <v>2550</v>
      </c>
      <c r="AJ49" s="148">
        <v>24.4</v>
      </c>
      <c r="AK49" s="148">
        <v>22.7</v>
      </c>
      <c r="AL49" s="148">
        <v>21.5</v>
      </c>
      <c r="AM49" s="148">
        <v>20.3</v>
      </c>
      <c r="AN49" s="148">
        <v>19.100000000000001</v>
      </c>
      <c r="AP49" s="144" t="s">
        <v>2469</v>
      </c>
      <c r="AQ49" s="141">
        <v>2.12</v>
      </c>
      <c r="AR49" s="141">
        <v>2.12</v>
      </c>
      <c r="AS49" s="141">
        <v>2.12</v>
      </c>
      <c r="AT49" s="141">
        <v>2.12</v>
      </c>
      <c r="AU49" s="141">
        <v>2.12</v>
      </c>
      <c r="AV49" s="141">
        <v>2.12</v>
      </c>
      <c r="AW49" s="141">
        <v>2.12</v>
      </c>
      <c r="AX49" s="126" t="s">
        <v>2590</v>
      </c>
    </row>
    <row r="50" spans="1:50" ht="31.5">
      <c r="A50" s="150" t="str">
        <f>IF(Главная!$P$9="Дол.",AX50,IF(Главная!$P$9="гривен.",AP50,IF(Главная!$P$9="рублей.",AI50,AP50)))</f>
        <v>Брянка</v>
      </c>
      <c r="B50" s="150">
        <v>6308042</v>
      </c>
      <c r="C50" s="149"/>
      <c r="D50" s="147"/>
      <c r="E50" s="147">
        <v>300</v>
      </c>
      <c r="F50" s="147">
        <v>400</v>
      </c>
      <c r="G50" s="147">
        <v>600</v>
      </c>
      <c r="H50" s="147">
        <v>710</v>
      </c>
      <c r="I50" s="147">
        <v>720</v>
      </c>
      <c r="J50" s="147">
        <v>18</v>
      </c>
      <c r="K50" s="162">
        <f>IF(Главная!$P$9="Дол.",AY50,IF(Главная!$P$9="гривен.",AQ50,IF(Главная!$P$9="рублей.",AJ50,AQ50)))</f>
        <v>1.86</v>
      </c>
      <c r="L50" s="162">
        <f>IF(Главная!$P$9="Дол.",AZ50,IF(Главная!$P$9="гривен.",AR50,IF(Главная!$P$9="рублей.",AK50,AR50)))</f>
        <v>1.86</v>
      </c>
      <c r="M50" s="162">
        <f>IF(Главная!$P$9="Дол.",BA50,IF(Главная!$P$9="гривен.",AS50,IF(Главная!$P$9="рублей.",AL50,AS50)))</f>
        <v>1.86</v>
      </c>
      <c r="N50" s="162">
        <f>IF(Главная!$P$9="Дол.",BB50,IF(Главная!$P$9="гривен.",AT50,IF(Главная!$P$9="рублей.",AM50,AT50)))</f>
        <v>1.86</v>
      </c>
      <c r="O50" s="162">
        <f>IF(Главная!$P$9="Дол.",BC50,IF(Главная!$P$9="гривен.",AU50,IF(Главная!$P$9="рублей.",AN50,AU50)))</f>
        <v>1.86</v>
      </c>
      <c r="P50" s="148">
        <v>16</v>
      </c>
      <c r="Q50" s="148">
        <v>15.8</v>
      </c>
      <c r="R50" s="148">
        <v>15.6</v>
      </c>
      <c r="S50" s="148">
        <v>15.5</v>
      </c>
      <c r="T50" s="148">
        <v>15.4</v>
      </c>
      <c r="U50" s="147">
        <v>15.3</v>
      </c>
      <c r="V50" s="147">
        <v>15.2</v>
      </c>
      <c r="W50" s="147">
        <v>4000</v>
      </c>
      <c r="X50" s="147">
        <v>3900</v>
      </c>
      <c r="Y50" s="147">
        <v>3800</v>
      </c>
      <c r="Z50" s="147">
        <v>3750</v>
      </c>
      <c r="AA50" s="147">
        <v>3700</v>
      </c>
      <c r="AB50" s="147">
        <v>3650</v>
      </c>
      <c r="AC50" s="147">
        <v>3600</v>
      </c>
      <c r="AD50" s="147">
        <v>3550</v>
      </c>
      <c r="AE50" s="147">
        <v>3500</v>
      </c>
      <c r="AI50" s="150" t="s">
        <v>1216</v>
      </c>
      <c r="AJ50" s="148">
        <v>17</v>
      </c>
      <c r="AK50" s="148">
        <v>16.8</v>
      </c>
      <c r="AL50" s="148">
        <v>16.600000000000001</v>
      </c>
      <c r="AM50" s="148">
        <v>16.399999999999999</v>
      </c>
      <c r="AN50" s="148">
        <v>16.2</v>
      </c>
      <c r="AP50" s="144" t="s">
        <v>2468</v>
      </c>
      <c r="AQ50" s="141">
        <v>1.86</v>
      </c>
      <c r="AR50" s="141">
        <v>1.86</v>
      </c>
      <c r="AS50" s="141">
        <v>1.86</v>
      </c>
      <c r="AT50" s="141">
        <v>1.86</v>
      </c>
      <c r="AU50" s="141">
        <v>1.86</v>
      </c>
      <c r="AV50" s="141">
        <v>1.86</v>
      </c>
      <c r="AW50" s="141">
        <v>1.86</v>
      </c>
      <c r="AX50" s="126" t="s">
        <v>2583</v>
      </c>
    </row>
    <row r="51" spans="1:50" ht="14.5">
      <c r="A51" s="150" t="str">
        <f>IF(Главная!$P$9="Дол.",AX51,IF(Главная!$P$9="гривен.",AP51,IF(Главная!$P$9="рублей.",AI51,AP51)))</f>
        <v>Буковель</v>
      </c>
      <c r="B51" s="150">
        <v>6489586</v>
      </c>
      <c r="C51" s="149"/>
      <c r="D51" s="147"/>
      <c r="E51" s="147">
        <v>600</v>
      </c>
      <c r="F51" s="147">
        <v>800</v>
      </c>
      <c r="G51" s="147">
        <v>1000</v>
      </c>
      <c r="H51" s="147">
        <v>1080</v>
      </c>
      <c r="I51" s="147">
        <v>1090</v>
      </c>
      <c r="J51" s="147">
        <v>27.2</v>
      </c>
      <c r="K51" s="162">
        <f>IF(Главная!$P$9="Дол.",AY51,IF(Главная!$P$9="гривен.",AQ51,IF(Главная!$P$9="рублей.",AJ51,AQ51)))</f>
        <v>1.5</v>
      </c>
      <c r="L51" s="162">
        <f>IF(Главная!$P$9="Дол.",AZ51,IF(Главная!$P$9="гривен.",AR51,IF(Главная!$P$9="рублей.",AK51,AR51)))</f>
        <v>1.5</v>
      </c>
      <c r="M51" s="162">
        <f>IF(Главная!$P$9="Дол.",BA51,IF(Главная!$P$9="гривен.",AS51,IF(Главная!$P$9="рублей.",AL51,AS51)))</f>
        <v>1.5</v>
      </c>
      <c r="N51" s="162">
        <f>IF(Главная!$P$9="Дол.",BB51,IF(Главная!$P$9="гривен.",AT51,IF(Главная!$P$9="рублей.",AM51,AT51)))</f>
        <v>1.5</v>
      </c>
      <c r="O51" s="162">
        <f>IF(Главная!$P$9="Дол.",BC51,IF(Главная!$P$9="гривен.",AU51,IF(Главная!$P$9="рублей.",AN51,AU51)))</f>
        <v>1.5</v>
      </c>
      <c r="P51" s="148">
        <v>16.8</v>
      </c>
      <c r="Q51" s="148">
        <v>15.9</v>
      </c>
      <c r="R51" s="148">
        <v>14.9</v>
      </c>
      <c r="S51" s="148">
        <v>14.4</v>
      </c>
      <c r="T51" s="148">
        <v>13.8</v>
      </c>
      <c r="U51" s="147">
        <v>13.4</v>
      </c>
      <c r="V51" s="147">
        <v>13</v>
      </c>
      <c r="W51" s="147">
        <v>4950</v>
      </c>
      <c r="X51" s="147">
        <v>4850</v>
      </c>
      <c r="Y51" s="147">
        <v>4500</v>
      </c>
      <c r="Z51" s="147">
        <v>4250</v>
      </c>
      <c r="AA51" s="147">
        <v>4050</v>
      </c>
      <c r="AB51" s="147">
        <v>3850</v>
      </c>
      <c r="AC51" s="147">
        <v>3650</v>
      </c>
      <c r="AD51" s="147">
        <v>3500</v>
      </c>
      <c r="AE51" s="147">
        <v>3350</v>
      </c>
      <c r="AI51" s="150" t="s">
        <v>2549</v>
      </c>
      <c r="AJ51" s="148">
        <v>23.4</v>
      </c>
      <c r="AK51" s="148">
        <v>21.7</v>
      </c>
      <c r="AL51" s="148">
        <v>20.5</v>
      </c>
      <c r="AM51" s="148">
        <v>19.3</v>
      </c>
      <c r="AN51" s="148">
        <v>18.100000000000001</v>
      </c>
      <c r="AP51" s="144" t="s">
        <v>2467</v>
      </c>
      <c r="AQ51" s="146">
        <v>1.5</v>
      </c>
      <c r="AR51" s="146">
        <v>1.5</v>
      </c>
      <c r="AS51" s="146">
        <v>1.5</v>
      </c>
      <c r="AT51" s="146">
        <v>1.5</v>
      </c>
      <c r="AU51" s="146">
        <v>1.5</v>
      </c>
      <c r="AV51" s="146">
        <v>1.5</v>
      </c>
      <c r="AW51" s="146">
        <v>1.5</v>
      </c>
      <c r="AX51" s="126" t="s">
        <v>2584</v>
      </c>
    </row>
    <row r="52" spans="1:50" ht="14.5">
      <c r="A52" s="150" t="str">
        <f>IF(Главная!$P$9="Дол.",AX52,IF(Главная!$P$9="гривен.",AP52,IF(Главная!$P$9="рублей.",AI52,AP52)))</f>
        <v>Бурштын</v>
      </c>
      <c r="B52" s="150">
        <v>6308592</v>
      </c>
      <c r="C52" s="149"/>
      <c r="D52" s="147"/>
      <c r="E52" s="147">
        <v>290</v>
      </c>
      <c r="F52" s="147">
        <v>300</v>
      </c>
      <c r="G52" s="147">
        <v>310</v>
      </c>
      <c r="H52" s="147">
        <v>320</v>
      </c>
      <c r="I52" s="147">
        <v>330</v>
      </c>
      <c r="J52" s="147">
        <v>8.1999999999999993</v>
      </c>
      <c r="K52" s="162">
        <f>IF(Главная!$P$9="Дол.",AY52,IF(Главная!$P$9="гривен.",AQ52,IF(Главная!$P$9="рублей.",AJ52,AQ52)))</f>
        <v>2.23</v>
      </c>
      <c r="L52" s="162">
        <f>IF(Главная!$P$9="Дол.",AZ52,IF(Главная!$P$9="гривен.",AR52,IF(Главная!$P$9="рублей.",AK52,AR52)))</f>
        <v>2.23</v>
      </c>
      <c r="M52" s="162">
        <f>IF(Главная!$P$9="Дол.",BA52,IF(Главная!$P$9="гривен.",AS52,IF(Главная!$P$9="рублей.",AL52,AS52)))</f>
        <v>2.23</v>
      </c>
      <c r="N52" s="162">
        <f>IF(Главная!$P$9="Дол.",BB52,IF(Главная!$P$9="гривен.",AT52,IF(Главная!$P$9="рублей.",AM52,AT52)))</f>
        <v>2.23</v>
      </c>
      <c r="O52" s="162">
        <f>IF(Главная!$P$9="Дол.",BC52,IF(Главная!$P$9="гривен.",AU52,IF(Главная!$P$9="рублей.",AN52,AU52)))</f>
        <v>2.23</v>
      </c>
      <c r="P52" s="148">
        <v>5.6</v>
      </c>
      <c r="Q52" s="148">
        <v>5.4</v>
      </c>
      <c r="R52" s="148">
        <v>5.2</v>
      </c>
      <c r="S52" s="148">
        <v>5</v>
      </c>
      <c r="T52" s="148">
        <v>4.8</v>
      </c>
      <c r="U52" s="147">
        <v>4.5999999999999996</v>
      </c>
      <c r="V52" s="147">
        <v>4.4000000000000004</v>
      </c>
      <c r="W52" s="147">
        <v>1400</v>
      </c>
      <c r="X52" s="147">
        <v>1300</v>
      </c>
      <c r="Y52" s="147">
        <v>1250</v>
      </c>
      <c r="Z52" s="147">
        <v>1230</v>
      </c>
      <c r="AA52" s="147">
        <v>1200</v>
      </c>
      <c r="AB52" s="147">
        <v>1150</v>
      </c>
      <c r="AC52" s="147">
        <v>1100</v>
      </c>
      <c r="AD52" s="147">
        <v>1050</v>
      </c>
      <c r="AE52" s="147">
        <v>1000</v>
      </c>
      <c r="AI52" s="150" t="s">
        <v>1201</v>
      </c>
      <c r="AJ52" s="148">
        <v>7</v>
      </c>
      <c r="AK52" s="148">
        <v>6.5</v>
      </c>
      <c r="AL52" s="148">
        <v>6</v>
      </c>
      <c r="AM52" s="148">
        <v>5.9</v>
      </c>
      <c r="AN52" s="148">
        <v>5.8</v>
      </c>
      <c r="AP52" s="144" t="s">
        <v>2466</v>
      </c>
      <c r="AQ52" s="141">
        <v>2.23</v>
      </c>
      <c r="AR52" s="141">
        <v>2.23</v>
      </c>
      <c r="AS52" s="141">
        <v>2.23</v>
      </c>
      <c r="AT52" s="141">
        <v>2.23</v>
      </c>
      <c r="AU52" s="141">
        <v>2.23</v>
      </c>
      <c r="AV52" s="141">
        <v>2.23</v>
      </c>
      <c r="AW52" s="141">
        <v>2.23</v>
      </c>
      <c r="AX52" s="126" t="s">
        <v>2585</v>
      </c>
    </row>
    <row r="53" spans="1:50" ht="14.5">
      <c r="A53" s="150" t="str">
        <f>IF(Главная!$P$9="Дол.",AX53,IF(Главная!$P$9="гривен.",AP53,IF(Главная!$P$9="рублей.",AI53,AP53)))</f>
        <v>Буск</v>
      </c>
      <c r="B53" s="150">
        <v>6307465</v>
      </c>
      <c r="C53" s="149"/>
      <c r="D53" s="147"/>
      <c r="E53" s="147">
        <v>300</v>
      </c>
      <c r="F53" s="147">
        <v>400</v>
      </c>
      <c r="G53" s="147">
        <v>460</v>
      </c>
      <c r="H53" s="147">
        <v>470</v>
      </c>
      <c r="I53" s="147">
        <v>480</v>
      </c>
      <c r="J53" s="147">
        <v>12</v>
      </c>
      <c r="K53" s="162">
        <f>IF(Главная!$P$9="Дол.",AY53,IF(Главная!$P$9="гривен.",AQ53,IF(Главная!$P$9="рублей.",AJ53,AQ53)))</f>
        <v>2.12</v>
      </c>
      <c r="L53" s="162">
        <f>IF(Главная!$P$9="Дол.",AZ53,IF(Главная!$P$9="гривен.",AR53,IF(Главная!$P$9="рублей.",AK53,AR53)))</f>
        <v>2.12</v>
      </c>
      <c r="M53" s="162">
        <f>IF(Главная!$P$9="Дол.",BA53,IF(Главная!$P$9="гривен.",AS53,IF(Главная!$P$9="рублей.",AL53,AS53)))</f>
        <v>2.12</v>
      </c>
      <c r="N53" s="162">
        <f>IF(Главная!$P$9="Дол.",BB53,IF(Главная!$P$9="гривен.",AT53,IF(Главная!$P$9="рублей.",AM53,AT53)))</f>
        <v>2.12</v>
      </c>
      <c r="O53" s="162">
        <f>IF(Главная!$P$9="Дол.",BC53,IF(Главная!$P$9="гривен.",AU53,IF(Главная!$P$9="рублей.",AN53,AU53)))</f>
        <v>2.12</v>
      </c>
      <c r="P53" s="148">
        <v>9</v>
      </c>
      <c r="Q53" s="148">
        <v>8.5</v>
      </c>
      <c r="R53" s="148">
        <v>8.4</v>
      </c>
      <c r="S53" s="148">
        <v>8.3000000000000007</v>
      </c>
      <c r="T53" s="148">
        <v>8.1999999999999993</v>
      </c>
      <c r="U53" s="147">
        <v>8.1</v>
      </c>
      <c r="V53" s="147">
        <v>8</v>
      </c>
      <c r="W53" s="147">
        <v>2500</v>
      </c>
      <c r="X53" s="147">
        <v>2400</v>
      </c>
      <c r="Y53" s="147">
        <v>2300</v>
      </c>
      <c r="Z53" s="147">
        <v>2200</v>
      </c>
      <c r="AA53" s="147">
        <v>2150</v>
      </c>
      <c r="AB53" s="147">
        <v>2100</v>
      </c>
      <c r="AC53" s="147">
        <v>2050</v>
      </c>
      <c r="AD53" s="147">
        <v>2000</v>
      </c>
      <c r="AE53" s="147">
        <v>1900</v>
      </c>
      <c r="AI53" s="150" t="s">
        <v>1176</v>
      </c>
      <c r="AJ53" s="148">
        <v>11.5</v>
      </c>
      <c r="AK53" s="148">
        <v>11</v>
      </c>
      <c r="AL53" s="148">
        <v>10.5</v>
      </c>
      <c r="AM53" s="148">
        <v>10</v>
      </c>
      <c r="AN53" s="148">
        <v>9.5</v>
      </c>
      <c r="AP53" s="144" t="s">
        <v>2465</v>
      </c>
      <c r="AQ53" s="141">
        <v>2.12</v>
      </c>
      <c r="AR53" s="141">
        <v>2.12</v>
      </c>
      <c r="AS53" s="141">
        <v>2.12</v>
      </c>
      <c r="AT53" s="141">
        <v>2.12</v>
      </c>
      <c r="AU53" s="141">
        <v>2.12</v>
      </c>
      <c r="AV53" s="141">
        <v>2.12</v>
      </c>
      <c r="AW53" s="141">
        <v>2.12</v>
      </c>
      <c r="AX53" s="126" t="s">
        <v>2586</v>
      </c>
    </row>
    <row r="54" spans="1:50" ht="21">
      <c r="A54" s="150" t="str">
        <f>IF(Главная!$P$9="Дол.",AX54,IF(Главная!$P$9="гривен.",AP54,IF(Главная!$P$9="рублей.",AI54,AP54)))</f>
        <v>Буча</v>
      </c>
      <c r="B54" s="150">
        <v>6307491</v>
      </c>
      <c r="C54" s="149"/>
      <c r="D54" s="147"/>
      <c r="E54" s="147">
        <v>290</v>
      </c>
      <c r="F54" s="147">
        <v>300</v>
      </c>
      <c r="G54" s="147">
        <v>310</v>
      </c>
      <c r="H54" s="147">
        <v>320</v>
      </c>
      <c r="I54" s="147">
        <v>330</v>
      </c>
      <c r="J54" s="147">
        <v>8.1999999999999993</v>
      </c>
      <c r="K54" s="162">
        <f>IF(Главная!$P$9="Дол.",AY54,IF(Главная!$P$9="гривен.",AQ54,IF(Главная!$P$9="рублей.",AJ54,AQ54)))</f>
        <v>1.74</v>
      </c>
      <c r="L54" s="162">
        <f>IF(Главная!$P$9="Дол.",AZ54,IF(Главная!$P$9="гривен.",AR54,IF(Главная!$P$9="рублей.",AK54,AR54)))</f>
        <v>1.74</v>
      </c>
      <c r="M54" s="162">
        <f>IF(Главная!$P$9="Дол.",BA54,IF(Главная!$P$9="гривен.",AS54,IF(Главная!$P$9="рублей.",AL54,AS54)))</f>
        <v>1.74</v>
      </c>
      <c r="N54" s="162">
        <f>IF(Главная!$P$9="Дол.",BB54,IF(Главная!$P$9="гривен.",AT54,IF(Главная!$P$9="рублей.",AM54,AT54)))</f>
        <v>1.74</v>
      </c>
      <c r="O54" s="162">
        <f>IF(Главная!$P$9="Дол.",BC54,IF(Главная!$P$9="гривен.",AU54,IF(Главная!$P$9="рублей.",AN54,AU54)))</f>
        <v>1.74</v>
      </c>
      <c r="P54" s="148">
        <v>6.4</v>
      </c>
      <c r="Q54" s="148">
        <v>6.2</v>
      </c>
      <c r="R54" s="148">
        <v>6</v>
      </c>
      <c r="S54" s="148">
        <v>5.8</v>
      </c>
      <c r="T54" s="148">
        <v>5.6</v>
      </c>
      <c r="U54" s="147">
        <v>5.4</v>
      </c>
      <c r="V54" s="147">
        <v>5.2</v>
      </c>
      <c r="W54" s="147">
        <v>1700</v>
      </c>
      <c r="X54" s="147">
        <v>1600</v>
      </c>
      <c r="Y54" s="147">
        <v>1550</v>
      </c>
      <c r="Z54" s="147">
        <v>1450</v>
      </c>
      <c r="AA54" s="147">
        <v>1400</v>
      </c>
      <c r="AB54" s="147">
        <v>1300</v>
      </c>
      <c r="AC54" s="147">
        <v>1250</v>
      </c>
      <c r="AD54" s="147">
        <v>1200</v>
      </c>
      <c r="AE54" s="147">
        <v>1100</v>
      </c>
      <c r="AI54" s="150" t="s">
        <v>1170</v>
      </c>
      <c r="AJ54" s="148">
        <v>7.5</v>
      </c>
      <c r="AK54" s="148">
        <v>7.2</v>
      </c>
      <c r="AL54" s="148">
        <v>7</v>
      </c>
      <c r="AM54" s="148">
        <v>6.8</v>
      </c>
      <c r="AN54" s="148">
        <v>6.6</v>
      </c>
      <c r="AP54" s="144" t="s">
        <v>2464</v>
      </c>
      <c r="AQ54" s="141">
        <v>1.74</v>
      </c>
      <c r="AR54" s="141">
        <v>1.74</v>
      </c>
      <c r="AS54" s="141">
        <v>1.74</v>
      </c>
      <c r="AT54" s="141">
        <v>1.74</v>
      </c>
      <c r="AU54" s="141">
        <v>1.74</v>
      </c>
      <c r="AV54" s="141">
        <v>1.74</v>
      </c>
      <c r="AW54" s="141">
        <v>1.74</v>
      </c>
      <c r="AX54" s="126" t="s">
        <v>2587</v>
      </c>
    </row>
    <row r="55" spans="1:50" ht="14.5">
      <c r="A55" s="150" t="str">
        <f>IF(Главная!$P$9="Дол.",AX55,IF(Главная!$P$9="гривен.",AP55,IF(Главная!$P$9="рублей.",AI55,AP55)))</f>
        <v>Бучач</v>
      </c>
      <c r="B55" s="150">
        <v>6309456</v>
      </c>
      <c r="C55" s="151" t="s">
        <v>2513</v>
      </c>
      <c r="D55" s="147"/>
      <c r="E55" s="147">
        <v>290</v>
      </c>
      <c r="F55" s="147">
        <v>300</v>
      </c>
      <c r="G55" s="147">
        <v>310</v>
      </c>
      <c r="H55" s="147">
        <v>320</v>
      </c>
      <c r="I55" s="147">
        <v>330</v>
      </c>
      <c r="J55" s="147">
        <v>8.1999999999999993</v>
      </c>
      <c r="K55" s="162">
        <f>IF(Главная!$P$9="Дол.",AY55,IF(Главная!$P$9="гривен.",AQ55,IF(Главная!$P$9="рублей.",AJ55,AQ55)))</f>
        <v>2.59</v>
      </c>
      <c r="L55" s="162">
        <f>IF(Главная!$P$9="Дол.",AZ55,IF(Главная!$P$9="гривен.",AR55,IF(Главная!$P$9="рублей.",AK55,AR55)))</f>
        <v>2.59</v>
      </c>
      <c r="M55" s="162">
        <f>IF(Главная!$P$9="Дол.",BA55,IF(Главная!$P$9="гривен.",AS55,IF(Главная!$P$9="рублей.",AL55,AS55)))</f>
        <v>2.59</v>
      </c>
      <c r="N55" s="162">
        <f>IF(Главная!$P$9="Дол.",BB55,IF(Главная!$P$9="гривен.",AT55,IF(Главная!$P$9="рублей.",AM55,AT55)))</f>
        <v>2.59</v>
      </c>
      <c r="O55" s="162">
        <f>IF(Главная!$P$9="Дол.",BC55,IF(Главная!$P$9="гривен.",AU55,IF(Главная!$P$9="рублей.",AN55,AU55)))</f>
        <v>2.59</v>
      </c>
      <c r="P55" s="148">
        <v>6.6</v>
      </c>
      <c r="Q55" s="148">
        <v>6.4</v>
      </c>
      <c r="R55" s="148">
        <v>6.2</v>
      </c>
      <c r="S55" s="148">
        <v>6</v>
      </c>
      <c r="T55" s="148">
        <v>5.5</v>
      </c>
      <c r="U55" s="147">
        <v>5.2</v>
      </c>
      <c r="V55" s="147">
        <v>5</v>
      </c>
      <c r="W55" s="147">
        <v>1900</v>
      </c>
      <c r="X55" s="147">
        <v>1800</v>
      </c>
      <c r="Y55" s="147">
        <v>1700</v>
      </c>
      <c r="Z55" s="147">
        <v>1600</v>
      </c>
      <c r="AA55" s="147">
        <v>1500</v>
      </c>
      <c r="AB55" s="147">
        <v>1400</v>
      </c>
      <c r="AC55" s="147">
        <v>1300</v>
      </c>
      <c r="AD55" s="147">
        <v>1250</v>
      </c>
      <c r="AE55" s="147">
        <v>1200</v>
      </c>
      <c r="AI55" s="150" t="s">
        <v>2548</v>
      </c>
      <c r="AJ55" s="148">
        <v>8</v>
      </c>
      <c r="AK55" s="148">
        <v>7.5</v>
      </c>
      <c r="AL55" s="148">
        <v>7.2</v>
      </c>
      <c r="AM55" s="148">
        <v>7</v>
      </c>
      <c r="AN55" s="148">
        <v>6.8</v>
      </c>
      <c r="AP55" s="144" t="s">
        <v>2463</v>
      </c>
      <c r="AQ55" s="141">
        <v>2.59</v>
      </c>
      <c r="AR55" s="141">
        <v>2.59</v>
      </c>
      <c r="AS55" s="141">
        <v>2.59</v>
      </c>
      <c r="AT55" s="141">
        <v>2.59</v>
      </c>
      <c r="AU55" s="141">
        <v>2.59</v>
      </c>
      <c r="AV55" s="141">
        <v>2.59</v>
      </c>
      <c r="AW55" s="141">
        <v>2.59</v>
      </c>
      <c r="AX55" s="126" t="s">
        <v>2588</v>
      </c>
    </row>
    <row r="56" spans="1:50" ht="14.5">
      <c r="A56" s="150" t="str">
        <f>IF(Главная!$P$9="Дол.",AX56,IF(Главная!$P$9="гривен.",AP56,IF(Главная!$P$9="рублей.",AI56,AP56)))</f>
        <v>Варва</v>
      </c>
      <c r="B56" s="150">
        <v>6308603</v>
      </c>
      <c r="C56" s="149"/>
      <c r="D56" s="147"/>
      <c r="E56" s="147">
        <v>290</v>
      </c>
      <c r="F56" s="147">
        <v>300</v>
      </c>
      <c r="G56" s="147">
        <v>310</v>
      </c>
      <c r="H56" s="147">
        <v>320</v>
      </c>
      <c r="I56" s="147">
        <v>330</v>
      </c>
      <c r="J56" s="147">
        <v>8.1999999999999993</v>
      </c>
      <c r="K56" s="162">
        <f>IF(Главная!$P$9="Дол.",AY56,IF(Главная!$P$9="гривен.",AQ56,IF(Главная!$P$9="рублей.",AJ56,AQ56)))</f>
        <v>1.74</v>
      </c>
      <c r="L56" s="162">
        <f>IF(Главная!$P$9="Дол.",AZ56,IF(Главная!$P$9="гривен.",AR56,IF(Главная!$P$9="рублей.",AK56,AR56)))</f>
        <v>1.74</v>
      </c>
      <c r="M56" s="162">
        <f>IF(Главная!$P$9="Дол.",BA56,IF(Главная!$P$9="гривен.",AS56,IF(Главная!$P$9="рублей.",AL56,AS56)))</f>
        <v>1.74</v>
      </c>
      <c r="N56" s="162">
        <f>IF(Главная!$P$9="Дол.",BB56,IF(Главная!$P$9="гривен.",AT56,IF(Главная!$P$9="рублей.",AM56,AT56)))</f>
        <v>1.74</v>
      </c>
      <c r="O56" s="162">
        <f>IF(Главная!$P$9="Дол.",BC56,IF(Главная!$P$9="гривен.",AU56,IF(Главная!$P$9="рублей.",AN56,AU56)))</f>
        <v>1.74</v>
      </c>
      <c r="P56" s="148">
        <v>6.6</v>
      </c>
      <c r="Q56" s="148">
        <v>6.4</v>
      </c>
      <c r="R56" s="148">
        <v>6.2</v>
      </c>
      <c r="S56" s="148">
        <v>6</v>
      </c>
      <c r="T56" s="148">
        <v>5.8</v>
      </c>
      <c r="U56" s="147">
        <v>5.6</v>
      </c>
      <c r="V56" s="147">
        <v>5.4</v>
      </c>
      <c r="W56" s="147">
        <v>1700</v>
      </c>
      <c r="X56" s="147">
        <v>1600</v>
      </c>
      <c r="Y56" s="147">
        <v>1500</v>
      </c>
      <c r="Z56" s="147">
        <v>1450</v>
      </c>
      <c r="AA56" s="147">
        <v>1400</v>
      </c>
      <c r="AB56" s="147">
        <v>1350</v>
      </c>
      <c r="AC56" s="147">
        <v>1300</v>
      </c>
      <c r="AD56" s="147">
        <v>1250</v>
      </c>
      <c r="AE56" s="147">
        <v>1200</v>
      </c>
      <c r="AI56" s="150" t="s">
        <v>1141</v>
      </c>
      <c r="AJ56" s="148">
        <v>8</v>
      </c>
      <c r="AK56" s="148">
        <v>7.8</v>
      </c>
      <c r="AL56" s="148">
        <v>7.4</v>
      </c>
      <c r="AM56" s="148">
        <v>7</v>
      </c>
      <c r="AN56" s="148">
        <v>6.8</v>
      </c>
      <c r="AP56" s="144" t="s">
        <v>2462</v>
      </c>
      <c r="AQ56" s="141">
        <v>1.74</v>
      </c>
      <c r="AR56" s="141">
        <v>1.74</v>
      </c>
      <c r="AS56" s="141">
        <v>1.74</v>
      </c>
      <c r="AT56" s="141">
        <v>1.74</v>
      </c>
      <c r="AU56" s="141">
        <v>1.74</v>
      </c>
      <c r="AV56" s="141">
        <v>1.74</v>
      </c>
      <c r="AW56" s="141">
        <v>1.74</v>
      </c>
      <c r="AX56" s="126" t="s">
        <v>2589</v>
      </c>
    </row>
    <row r="57" spans="1:50" ht="14.5">
      <c r="A57" s="150" t="str">
        <f>IF(Главная!$P$9="Дол.",AX57,IF(Главная!$P$9="гривен.",AP57,IF(Главная!$P$9="рублей.",AI57,AP57)))</f>
        <v>Васильевка</v>
      </c>
      <c r="B57" s="150">
        <v>6307412</v>
      </c>
      <c r="C57" s="149"/>
      <c r="D57" s="147"/>
      <c r="E57" s="147">
        <v>300</v>
      </c>
      <c r="F57" s="147">
        <v>400</v>
      </c>
      <c r="G57" s="147">
        <v>420</v>
      </c>
      <c r="H57" s="147">
        <v>430</v>
      </c>
      <c r="I57" s="147">
        <v>440</v>
      </c>
      <c r="J57" s="147">
        <v>11</v>
      </c>
      <c r="K57" s="162">
        <f>IF(Главная!$P$9="Дол.",AY57,IF(Главная!$P$9="гривен.",AQ57,IF(Главная!$P$9="рублей.",AJ57,AQ57)))</f>
        <v>1.74</v>
      </c>
      <c r="L57" s="162">
        <f>IF(Главная!$P$9="Дол.",AZ57,IF(Главная!$P$9="гривен.",AR57,IF(Главная!$P$9="рублей.",AK57,AR57)))</f>
        <v>1.74</v>
      </c>
      <c r="M57" s="162">
        <f>IF(Главная!$P$9="Дол.",BA57,IF(Главная!$P$9="гривен.",AS57,IF(Главная!$P$9="рублей.",AL57,AS57)))</f>
        <v>1.74</v>
      </c>
      <c r="N57" s="162">
        <f>IF(Главная!$P$9="Дол.",BB57,IF(Главная!$P$9="гривен.",AT57,IF(Главная!$P$9="рублей.",AM57,AT57)))</f>
        <v>1.74</v>
      </c>
      <c r="O57" s="162">
        <f>IF(Главная!$P$9="Дол.",BC57,IF(Главная!$P$9="гривен.",AU57,IF(Главная!$P$9="рублей.",AN57,AU57)))</f>
        <v>1.74</v>
      </c>
      <c r="P57" s="148">
        <v>10</v>
      </c>
      <c r="Q57" s="148">
        <v>9.8000000000000007</v>
      </c>
      <c r="R57" s="148">
        <v>9.6</v>
      </c>
      <c r="S57" s="148">
        <v>9.4</v>
      </c>
      <c r="T57" s="148">
        <v>9.1999999999999993</v>
      </c>
      <c r="U57" s="147">
        <v>9</v>
      </c>
      <c r="V57" s="147">
        <v>8.8000000000000007</v>
      </c>
      <c r="W57" s="147">
        <v>2600</v>
      </c>
      <c r="X57" s="147">
        <v>2500</v>
      </c>
      <c r="Y57" s="147">
        <v>2450</v>
      </c>
      <c r="Z57" s="147">
        <v>2400</v>
      </c>
      <c r="AA57" s="147">
        <v>2300</v>
      </c>
      <c r="AB57" s="147">
        <v>2200</v>
      </c>
      <c r="AC57" s="147">
        <v>2100</v>
      </c>
      <c r="AD57" s="147">
        <v>2050</v>
      </c>
      <c r="AE57" s="147">
        <v>2000</v>
      </c>
      <c r="AI57" s="150" t="s">
        <v>1123</v>
      </c>
      <c r="AJ57" s="148">
        <v>11</v>
      </c>
      <c r="AK57" s="148">
        <v>10.8</v>
      </c>
      <c r="AL57" s="148">
        <v>10.6</v>
      </c>
      <c r="AM57" s="148">
        <v>10.4</v>
      </c>
      <c r="AN57" s="148">
        <v>10.199999999999999</v>
      </c>
      <c r="AP57" s="144" t="s">
        <v>2461</v>
      </c>
      <c r="AQ57" s="141">
        <v>1.74</v>
      </c>
      <c r="AR57" s="141">
        <v>1.74</v>
      </c>
      <c r="AS57" s="141">
        <v>1.74</v>
      </c>
      <c r="AT57" s="141">
        <v>1.74</v>
      </c>
      <c r="AU57" s="141">
        <v>1.74</v>
      </c>
      <c r="AV57" s="141">
        <v>1.74</v>
      </c>
      <c r="AW57" s="141">
        <v>1.74</v>
      </c>
      <c r="AX57" s="126" t="s">
        <v>2590</v>
      </c>
    </row>
    <row r="58" spans="1:50" ht="21">
      <c r="A58" s="150" t="str">
        <f>IF(Главная!$P$9="Дол.",AX58,IF(Главная!$P$9="гривен.",AP58,IF(Главная!$P$9="рублей.",AI58,AP58)))</f>
        <v>Васильков</v>
      </c>
      <c r="B58" s="150">
        <v>6308541</v>
      </c>
      <c r="C58" s="151" t="s">
        <v>2513</v>
      </c>
      <c r="D58" s="147"/>
      <c r="E58" s="147">
        <v>290</v>
      </c>
      <c r="F58" s="147">
        <v>300</v>
      </c>
      <c r="G58" s="147">
        <v>310</v>
      </c>
      <c r="H58" s="147">
        <v>320</v>
      </c>
      <c r="I58" s="147">
        <v>330</v>
      </c>
      <c r="J58" s="147">
        <v>8.1999999999999993</v>
      </c>
      <c r="K58" s="162">
        <f>IF(Главная!$P$9="Дол.",AY58,IF(Главная!$P$9="гривен.",AQ58,IF(Главная!$P$9="рублей.",AJ58,AQ58)))</f>
        <v>1.74</v>
      </c>
      <c r="L58" s="162">
        <f>IF(Главная!$P$9="Дол.",AZ58,IF(Главная!$P$9="гривен.",AR58,IF(Главная!$P$9="рублей.",AK58,AR58)))</f>
        <v>1.74</v>
      </c>
      <c r="M58" s="162">
        <f>IF(Главная!$P$9="Дол.",BA58,IF(Главная!$P$9="гривен.",AS58,IF(Главная!$P$9="рублей.",AL58,AS58)))</f>
        <v>1.74</v>
      </c>
      <c r="N58" s="162">
        <f>IF(Главная!$P$9="Дол.",BB58,IF(Главная!$P$9="гривен.",AT58,IF(Главная!$P$9="рублей.",AM58,AT58)))</f>
        <v>1.74</v>
      </c>
      <c r="O58" s="162">
        <f>IF(Главная!$P$9="Дол.",BC58,IF(Главная!$P$9="гривен.",AU58,IF(Главная!$P$9="рублей.",AN58,AU58)))</f>
        <v>1.74</v>
      </c>
      <c r="P58" s="148">
        <v>3.1</v>
      </c>
      <c r="Q58" s="148">
        <v>2.9</v>
      </c>
      <c r="R58" s="148">
        <v>2.6</v>
      </c>
      <c r="S58" s="148">
        <v>2.4</v>
      </c>
      <c r="T58" s="148">
        <v>2.2000000000000002</v>
      </c>
      <c r="U58" s="147">
        <v>2.1</v>
      </c>
      <c r="V58" s="147">
        <v>2</v>
      </c>
      <c r="W58" s="147">
        <v>1200</v>
      </c>
      <c r="X58" s="147">
        <v>1100</v>
      </c>
      <c r="Y58" s="147">
        <v>800</v>
      </c>
      <c r="Z58" s="147">
        <v>750</v>
      </c>
      <c r="AA58" s="147">
        <v>700</v>
      </c>
      <c r="AB58" s="147">
        <v>650</v>
      </c>
      <c r="AC58" s="147">
        <v>600</v>
      </c>
      <c r="AD58" s="147">
        <v>550</v>
      </c>
      <c r="AE58" s="147">
        <v>500</v>
      </c>
      <c r="AI58" s="150" t="s">
        <v>2547</v>
      </c>
      <c r="AJ58" s="148">
        <v>5.4</v>
      </c>
      <c r="AK58" s="148">
        <v>4.4000000000000004</v>
      </c>
      <c r="AL58" s="148">
        <v>3.7</v>
      </c>
      <c r="AM58" s="148">
        <v>3.6</v>
      </c>
      <c r="AN58" s="148">
        <v>3.3</v>
      </c>
      <c r="AP58" s="144" t="s">
        <v>2460</v>
      </c>
      <c r="AQ58" s="141">
        <v>1.74</v>
      </c>
      <c r="AR58" s="141">
        <v>1.74</v>
      </c>
      <c r="AS58" s="141">
        <v>1.74</v>
      </c>
      <c r="AT58" s="141">
        <v>1.74</v>
      </c>
      <c r="AU58" s="141">
        <v>1.74</v>
      </c>
      <c r="AV58" s="141">
        <v>1.74</v>
      </c>
      <c r="AW58" s="141">
        <v>1.74</v>
      </c>
      <c r="AX58" s="126" t="s">
        <v>2583</v>
      </c>
    </row>
    <row r="59" spans="1:50" ht="14.5">
      <c r="A59" s="150" t="str">
        <f>IF(Главная!$P$9="Дол.",AX59,IF(Главная!$P$9="гривен.",AP59,IF(Главная!$P$9="рублей.",AI59,AP59)))</f>
        <v>Ватутино</v>
      </c>
      <c r="B59" s="150">
        <v>6307377</v>
      </c>
      <c r="C59" s="149"/>
      <c r="D59" s="147"/>
      <c r="E59" s="147">
        <v>300</v>
      </c>
      <c r="F59" s="147">
        <v>400</v>
      </c>
      <c r="G59" s="147">
        <v>600</v>
      </c>
      <c r="H59" s="147">
        <v>800</v>
      </c>
      <c r="I59" s="147">
        <v>1320</v>
      </c>
      <c r="J59" s="147">
        <v>33</v>
      </c>
      <c r="K59" s="162">
        <f>IF(Главная!$P$9="Дол.",AY59,IF(Главная!$P$9="гривен.",AQ59,IF(Главная!$P$9="рублей.",AJ59,AQ59)))</f>
        <v>1.21</v>
      </c>
      <c r="L59" s="162">
        <f>IF(Главная!$P$9="Дол.",AZ59,IF(Главная!$P$9="гривен.",AR59,IF(Главная!$P$9="рублей.",AK59,AR59)))</f>
        <v>1.21</v>
      </c>
      <c r="M59" s="162">
        <f>IF(Главная!$P$9="Дол.",BA59,IF(Главная!$P$9="гривен.",AS59,IF(Главная!$P$9="рублей.",AL59,AS59)))</f>
        <v>1.21</v>
      </c>
      <c r="N59" s="162">
        <f>IF(Главная!$P$9="Дол.",BB59,IF(Главная!$P$9="гривен.",AT59,IF(Главная!$P$9="рублей.",AM59,AT59)))</f>
        <v>1.21</v>
      </c>
      <c r="O59" s="162">
        <f>IF(Главная!$P$9="Дол.",BC59,IF(Главная!$P$9="гривен.",AU59,IF(Главная!$P$9="рублей.",AN59,AU59)))</f>
        <v>1.21</v>
      </c>
      <c r="P59" s="148">
        <v>30</v>
      </c>
      <c r="Q59" s="148">
        <v>29.5</v>
      </c>
      <c r="R59" s="148">
        <v>29</v>
      </c>
      <c r="S59" s="148">
        <v>28.8</v>
      </c>
      <c r="T59" s="148">
        <v>28.6</v>
      </c>
      <c r="U59" s="147">
        <v>28.4</v>
      </c>
      <c r="V59" s="147">
        <v>28.2</v>
      </c>
      <c r="W59" s="147">
        <v>7100</v>
      </c>
      <c r="X59" s="147">
        <v>7000</v>
      </c>
      <c r="Y59" s="147">
        <v>6900</v>
      </c>
      <c r="Z59" s="147">
        <v>6800</v>
      </c>
      <c r="AA59" s="147">
        <v>6700</v>
      </c>
      <c r="AB59" s="147">
        <v>6600</v>
      </c>
      <c r="AC59" s="147">
        <v>6500</v>
      </c>
      <c r="AD59" s="147">
        <v>6400</v>
      </c>
      <c r="AE59" s="147">
        <v>6300</v>
      </c>
      <c r="AI59" s="150" t="s">
        <v>2546</v>
      </c>
      <c r="AJ59" s="148">
        <v>32</v>
      </c>
      <c r="AK59" s="148">
        <v>31.8</v>
      </c>
      <c r="AL59" s="148">
        <v>31.4</v>
      </c>
      <c r="AM59" s="148">
        <v>31</v>
      </c>
      <c r="AN59" s="148">
        <v>30.5</v>
      </c>
      <c r="AP59" s="144" t="s">
        <v>2459</v>
      </c>
      <c r="AQ59" s="141">
        <v>1.21</v>
      </c>
      <c r="AR59" s="141">
        <v>1.21</v>
      </c>
      <c r="AS59" s="141">
        <v>1.21</v>
      </c>
      <c r="AT59" s="141">
        <v>1.21</v>
      </c>
      <c r="AU59" s="141">
        <v>1.21</v>
      </c>
      <c r="AV59" s="141">
        <v>1.21</v>
      </c>
      <c r="AW59" s="141">
        <v>1.21</v>
      </c>
      <c r="AX59" s="126" t="s">
        <v>2584</v>
      </c>
    </row>
    <row r="60" spans="1:50" ht="14.5">
      <c r="A60" s="150" t="str">
        <f>IF(Главная!$P$9="Дол.",AX60,IF(Главная!$P$9="гривен.",AP60,IF(Главная!$P$9="рублей.",AI60,AP60)))</f>
        <v>Великая Багачка</v>
      </c>
      <c r="B60" s="150">
        <v>6309251</v>
      </c>
      <c r="C60" s="149"/>
      <c r="D60" s="147"/>
      <c r="E60" s="147">
        <v>300</v>
      </c>
      <c r="F60" s="147">
        <v>400</v>
      </c>
      <c r="G60" s="147">
        <v>460</v>
      </c>
      <c r="H60" s="147">
        <v>470</v>
      </c>
      <c r="I60" s="147">
        <v>480</v>
      </c>
      <c r="J60" s="147">
        <v>12</v>
      </c>
      <c r="K60" s="162">
        <f>IF(Главная!$P$9="Дол.",AY60,IF(Главная!$P$9="гривен.",AQ60,IF(Главная!$P$9="рублей.",AJ60,AQ60)))</f>
        <v>1.21</v>
      </c>
      <c r="L60" s="162">
        <f>IF(Главная!$P$9="Дол.",AZ60,IF(Главная!$P$9="гривен.",AR60,IF(Главная!$P$9="рублей.",AK60,AR60)))</f>
        <v>1.21</v>
      </c>
      <c r="M60" s="162">
        <f>IF(Главная!$P$9="Дол.",BA60,IF(Главная!$P$9="гривен.",AS60,IF(Главная!$P$9="рублей.",AL60,AS60)))</f>
        <v>1.21</v>
      </c>
      <c r="N60" s="162">
        <f>IF(Главная!$P$9="Дол.",BB60,IF(Главная!$P$9="гривен.",AT60,IF(Главная!$P$9="рублей.",AM60,AT60)))</f>
        <v>1.21</v>
      </c>
      <c r="O60" s="162">
        <f>IF(Главная!$P$9="Дол.",BC60,IF(Главная!$P$9="гривен.",AU60,IF(Главная!$P$9="рублей.",AN60,AU60)))</f>
        <v>1.21</v>
      </c>
      <c r="P60" s="148">
        <v>9</v>
      </c>
      <c r="Q60" s="148">
        <v>8.5</v>
      </c>
      <c r="R60" s="148">
        <v>8.4</v>
      </c>
      <c r="S60" s="148">
        <v>8.3000000000000007</v>
      </c>
      <c r="T60" s="148">
        <v>8.1999999999999993</v>
      </c>
      <c r="U60" s="147">
        <v>8.1</v>
      </c>
      <c r="V60" s="147">
        <v>8</v>
      </c>
      <c r="W60" s="147">
        <v>2500</v>
      </c>
      <c r="X60" s="147">
        <v>2400</v>
      </c>
      <c r="Y60" s="147">
        <v>2300</v>
      </c>
      <c r="Z60" s="147">
        <v>2200</v>
      </c>
      <c r="AA60" s="147">
        <v>2150</v>
      </c>
      <c r="AB60" s="147">
        <v>2100</v>
      </c>
      <c r="AC60" s="147">
        <v>2050</v>
      </c>
      <c r="AD60" s="147">
        <v>2000</v>
      </c>
      <c r="AE60" s="147">
        <v>1900</v>
      </c>
      <c r="AI60" s="150" t="s">
        <v>1103</v>
      </c>
      <c r="AJ60" s="148">
        <v>11.5</v>
      </c>
      <c r="AK60" s="148">
        <v>11</v>
      </c>
      <c r="AL60" s="148">
        <v>10.5</v>
      </c>
      <c r="AM60" s="148">
        <v>10</v>
      </c>
      <c r="AN60" s="148">
        <v>9.5</v>
      </c>
      <c r="AP60" s="144" t="s">
        <v>2458</v>
      </c>
      <c r="AQ60" s="141">
        <v>1.21</v>
      </c>
      <c r="AR60" s="141">
        <v>1.21</v>
      </c>
      <c r="AS60" s="141">
        <v>1.21</v>
      </c>
      <c r="AT60" s="141">
        <v>1.21</v>
      </c>
      <c r="AU60" s="141">
        <v>1.21</v>
      </c>
      <c r="AV60" s="141">
        <v>1.21</v>
      </c>
      <c r="AW60" s="141">
        <v>1.21</v>
      </c>
      <c r="AX60" s="126" t="s">
        <v>2585</v>
      </c>
    </row>
    <row r="61" spans="1:50" ht="21">
      <c r="A61" s="150" t="str">
        <f>IF(Главная!$P$9="Дол.",AX61,IF(Главная!$P$9="гривен.",AP61,IF(Главная!$P$9="рублей.",AI61,AP61)))</f>
        <v>Великие Сорочинцы</v>
      </c>
      <c r="B61" s="150">
        <v>6309818</v>
      </c>
      <c r="C61" s="149"/>
      <c r="D61" s="147"/>
      <c r="E61" s="147">
        <v>300</v>
      </c>
      <c r="F61" s="147">
        <v>330</v>
      </c>
      <c r="G61" s="147">
        <v>340</v>
      </c>
      <c r="H61" s="147">
        <v>350</v>
      </c>
      <c r="I61" s="147">
        <v>360</v>
      </c>
      <c r="J61" s="147">
        <v>9</v>
      </c>
      <c r="K61" s="162">
        <f>IF(Главная!$P$9="Дол.",AY61,IF(Главная!$P$9="гривен.",AQ61,IF(Главная!$P$9="рублей.",AJ61,AQ61)))</f>
        <v>1.21</v>
      </c>
      <c r="L61" s="162">
        <f>IF(Главная!$P$9="Дол.",AZ61,IF(Главная!$P$9="гривен.",AR61,IF(Главная!$P$9="рублей.",AK61,AR61)))</f>
        <v>1.21</v>
      </c>
      <c r="M61" s="162">
        <f>IF(Главная!$P$9="Дол.",BA61,IF(Главная!$P$9="гривен.",AS61,IF(Главная!$P$9="рублей.",AL61,AS61)))</f>
        <v>1.21</v>
      </c>
      <c r="N61" s="162">
        <f>IF(Главная!$P$9="Дол.",BB61,IF(Главная!$P$9="гривен.",AT61,IF(Главная!$P$9="рублей.",AM61,AT61)))</f>
        <v>1.21</v>
      </c>
      <c r="O61" s="162">
        <f>IF(Главная!$P$9="Дол.",BC61,IF(Главная!$P$9="гривен.",AU61,IF(Главная!$P$9="рублей.",AN61,AU61)))</f>
        <v>1.21</v>
      </c>
      <c r="P61" s="148">
        <v>6.5</v>
      </c>
      <c r="Q61" s="148">
        <v>6</v>
      </c>
      <c r="R61" s="148">
        <v>5.6</v>
      </c>
      <c r="S61" s="148">
        <v>5.4</v>
      </c>
      <c r="T61" s="148">
        <v>5.2</v>
      </c>
      <c r="U61" s="147">
        <v>5.0999999999999996</v>
      </c>
      <c r="V61" s="147">
        <v>5</v>
      </c>
      <c r="W61" s="147">
        <v>2100</v>
      </c>
      <c r="X61" s="147">
        <v>2000</v>
      </c>
      <c r="Y61" s="147">
        <v>1900</v>
      </c>
      <c r="Z61" s="147">
        <v>1700</v>
      </c>
      <c r="AA61" s="147">
        <v>1500</v>
      </c>
      <c r="AB61" s="147">
        <v>1400</v>
      </c>
      <c r="AC61" s="147">
        <v>1350</v>
      </c>
      <c r="AD61" s="147">
        <v>1300</v>
      </c>
      <c r="AE61" s="147">
        <v>1250</v>
      </c>
      <c r="AI61" s="150" t="s">
        <v>2545</v>
      </c>
      <c r="AJ61" s="148">
        <v>9</v>
      </c>
      <c r="AK61" s="148">
        <v>8.5</v>
      </c>
      <c r="AL61" s="148">
        <v>8</v>
      </c>
      <c r="AM61" s="148">
        <v>7.5</v>
      </c>
      <c r="AN61" s="148">
        <v>7</v>
      </c>
      <c r="AP61" s="144" t="s">
        <v>2457</v>
      </c>
      <c r="AQ61" s="141">
        <v>1.21</v>
      </c>
      <c r="AR61" s="141">
        <v>1.21</v>
      </c>
      <c r="AS61" s="141">
        <v>1.21</v>
      </c>
      <c r="AT61" s="141">
        <v>1.21</v>
      </c>
      <c r="AU61" s="141">
        <v>1.21</v>
      </c>
      <c r="AV61" s="141">
        <v>1.21</v>
      </c>
      <c r="AW61" s="141">
        <v>1.21</v>
      </c>
      <c r="AX61" s="126" t="s">
        <v>2586</v>
      </c>
    </row>
    <row r="62" spans="1:50" ht="14.5">
      <c r="A62" s="150" t="str">
        <f>IF(Главная!$P$9="Дол.",AX62,IF(Главная!$P$9="гривен.",AP62,IF(Главная!$P$9="рублей.",AI62,AP62)))</f>
        <v>Верхнеднепровск</v>
      </c>
      <c r="B62" s="150">
        <v>6379721</v>
      </c>
      <c r="C62" s="149"/>
      <c r="D62" s="147">
        <v>1950</v>
      </c>
      <c r="E62" s="147"/>
      <c r="F62" s="147"/>
      <c r="G62" s="147"/>
      <c r="H62" s="147"/>
      <c r="I62" s="147"/>
      <c r="J62" s="147"/>
      <c r="K62" s="162">
        <f>IF(Главная!$P$9="Дол.",AY62,IF(Главная!$P$9="гривен.",AQ62,IF(Главная!$P$9="рублей.",AJ62,AQ62)))</f>
        <v>1.74</v>
      </c>
      <c r="L62" s="162">
        <f>IF(Главная!$P$9="Дол.",AZ62,IF(Главная!$P$9="гривен.",AR62,IF(Главная!$P$9="рублей.",AK62,AR62)))</f>
        <v>1.74</v>
      </c>
      <c r="M62" s="162">
        <f>IF(Главная!$P$9="Дол.",BA62,IF(Главная!$P$9="гривен.",AS62,IF(Главная!$P$9="рублей.",AL62,AS62)))</f>
        <v>1.74</v>
      </c>
      <c r="N62" s="162">
        <f>IF(Главная!$P$9="Дол.",BB62,IF(Главная!$P$9="гривен.",AT62,IF(Главная!$P$9="рублей.",AM62,AT62)))</f>
        <v>1.74</v>
      </c>
      <c r="O62" s="162">
        <f>IF(Главная!$P$9="Дол.",BC62,IF(Главная!$P$9="гривен.",AU62,IF(Главная!$P$9="рублей.",AN62,AU62)))</f>
        <v>1.74</v>
      </c>
      <c r="P62" s="148">
        <v>1.5</v>
      </c>
      <c r="Q62" s="148">
        <v>1.1000000000000001</v>
      </c>
      <c r="R62" s="148">
        <v>1</v>
      </c>
      <c r="S62" s="148">
        <v>0.9</v>
      </c>
      <c r="T62" s="148">
        <v>0.8</v>
      </c>
      <c r="U62" s="147">
        <v>0.5</v>
      </c>
      <c r="V62" s="147">
        <v>0.5</v>
      </c>
      <c r="W62" s="147"/>
      <c r="X62" s="147">
        <v>620</v>
      </c>
      <c r="Y62" s="147">
        <v>560</v>
      </c>
      <c r="Z62" s="147">
        <v>350</v>
      </c>
      <c r="AA62" s="147">
        <v>320</v>
      </c>
      <c r="AB62" s="147">
        <v>280</v>
      </c>
      <c r="AC62" s="147">
        <v>230</v>
      </c>
      <c r="AD62" s="147">
        <v>150</v>
      </c>
      <c r="AE62" s="147">
        <v>140</v>
      </c>
      <c r="AI62" s="150" t="s">
        <v>2544</v>
      </c>
      <c r="AJ62" s="148"/>
      <c r="AK62" s="148">
        <v>3.3</v>
      </c>
      <c r="AL62" s="148">
        <v>2.4</v>
      </c>
      <c r="AM62" s="148">
        <v>2.1</v>
      </c>
      <c r="AN62" s="148">
        <v>2</v>
      </c>
      <c r="AP62" s="144" t="s">
        <v>2456</v>
      </c>
      <c r="AQ62" s="141">
        <v>1.74</v>
      </c>
      <c r="AR62" s="141">
        <v>1.74</v>
      </c>
      <c r="AS62" s="141">
        <v>1.74</v>
      </c>
      <c r="AT62" s="141">
        <v>1.74</v>
      </c>
      <c r="AU62" s="141">
        <v>1.74</v>
      </c>
      <c r="AV62" s="141">
        <v>1.74</v>
      </c>
      <c r="AW62" s="141">
        <v>1.74</v>
      </c>
      <c r="AX62" s="126" t="s">
        <v>2587</v>
      </c>
    </row>
    <row r="63" spans="1:50" ht="14.5">
      <c r="A63" s="150" t="str">
        <f>IF(Главная!$P$9="Дол.",AX63,IF(Главная!$P$9="гривен.",AP63,IF(Главная!$P$9="рублей.",AI63,AP63)))</f>
        <v>Верховцево</v>
      </c>
      <c r="B63" s="150">
        <v>6308555</v>
      </c>
      <c r="C63" s="151" t="s">
        <v>2513</v>
      </c>
      <c r="D63" s="147"/>
      <c r="E63" s="147">
        <v>290</v>
      </c>
      <c r="F63" s="147">
        <v>300</v>
      </c>
      <c r="G63" s="147">
        <v>310</v>
      </c>
      <c r="H63" s="147">
        <v>320</v>
      </c>
      <c r="I63" s="147">
        <v>330</v>
      </c>
      <c r="J63" s="147">
        <v>8.1999999999999993</v>
      </c>
      <c r="K63" s="162">
        <f>IF(Главная!$P$9="Дол.",AY63,IF(Главная!$P$9="гривен.",AQ63,IF(Главная!$P$9="рублей.",AJ63,AQ63)))</f>
        <v>1.86</v>
      </c>
      <c r="L63" s="162">
        <f>IF(Главная!$P$9="Дол.",AZ63,IF(Главная!$P$9="гривен.",AR63,IF(Главная!$P$9="рублей.",AK63,AR63)))</f>
        <v>1.86</v>
      </c>
      <c r="M63" s="162">
        <f>IF(Главная!$P$9="Дол.",BA63,IF(Главная!$P$9="гривен.",AS63,IF(Главная!$P$9="рублей.",AL63,AS63)))</f>
        <v>1.86</v>
      </c>
      <c r="N63" s="162">
        <f>IF(Главная!$P$9="Дол.",BB63,IF(Главная!$P$9="гривен.",AT63,IF(Главная!$P$9="рублей.",AM63,AT63)))</f>
        <v>1.86</v>
      </c>
      <c r="O63" s="162">
        <f>IF(Главная!$P$9="Дол.",BC63,IF(Главная!$P$9="гривен.",AU63,IF(Главная!$P$9="рублей.",AN63,AU63)))</f>
        <v>1.86</v>
      </c>
      <c r="P63" s="148">
        <v>6.1</v>
      </c>
      <c r="Q63" s="148">
        <v>6</v>
      </c>
      <c r="R63" s="148">
        <v>5.9</v>
      </c>
      <c r="S63" s="148">
        <v>5.8</v>
      </c>
      <c r="T63" s="148">
        <v>5.7</v>
      </c>
      <c r="U63" s="147">
        <v>5.5</v>
      </c>
      <c r="V63" s="147">
        <v>5</v>
      </c>
      <c r="W63" s="147">
        <v>1800</v>
      </c>
      <c r="X63" s="147">
        <v>1700</v>
      </c>
      <c r="Y63" s="147">
        <v>1600</v>
      </c>
      <c r="Z63" s="147">
        <v>1500</v>
      </c>
      <c r="AA63" s="147">
        <v>1450</v>
      </c>
      <c r="AB63" s="147">
        <v>1400</v>
      </c>
      <c r="AC63" s="147">
        <v>1350</v>
      </c>
      <c r="AD63" s="147">
        <v>1300</v>
      </c>
      <c r="AE63" s="147">
        <v>1200</v>
      </c>
      <c r="AI63" s="150" t="s">
        <v>1058</v>
      </c>
      <c r="AJ63" s="148">
        <v>7</v>
      </c>
      <c r="AK63" s="148">
        <v>6.5</v>
      </c>
      <c r="AL63" s="148">
        <v>6.4</v>
      </c>
      <c r="AM63" s="148">
        <v>6.3</v>
      </c>
      <c r="AN63" s="148">
        <v>6.2</v>
      </c>
      <c r="AP63" s="144" t="s">
        <v>2455</v>
      </c>
      <c r="AQ63" s="141">
        <v>1.86</v>
      </c>
      <c r="AR63" s="141">
        <v>1.86</v>
      </c>
      <c r="AS63" s="141">
        <v>1.86</v>
      </c>
      <c r="AT63" s="141">
        <v>1.86</v>
      </c>
      <c r="AU63" s="141">
        <v>1.86</v>
      </c>
      <c r="AV63" s="141">
        <v>1.86</v>
      </c>
      <c r="AW63" s="141">
        <v>1.86</v>
      </c>
      <c r="AX63" s="126" t="s">
        <v>2588</v>
      </c>
    </row>
    <row r="64" spans="1:50" ht="21">
      <c r="A64" s="150" t="str">
        <f>IF(Главная!$P$9="Дол.",AX64,IF(Главная!$P$9="гривен.",AP64,IF(Главная!$P$9="рублей.",AI64,AP64)))</f>
        <v>Вижница</v>
      </c>
      <c r="B64" s="150">
        <v>6308547</v>
      </c>
      <c r="C64" s="151" t="s">
        <v>2513</v>
      </c>
      <c r="D64" s="147"/>
      <c r="E64" s="147">
        <v>290</v>
      </c>
      <c r="F64" s="147">
        <v>300</v>
      </c>
      <c r="G64" s="147">
        <v>310</v>
      </c>
      <c r="H64" s="147">
        <v>320</v>
      </c>
      <c r="I64" s="147">
        <v>330</v>
      </c>
      <c r="J64" s="147">
        <v>8.1999999999999993</v>
      </c>
      <c r="K64" s="162">
        <f>IF(Главная!$P$9="Дол.",AY64,IF(Главная!$P$9="гривен.",AQ64,IF(Главная!$P$9="рублей.",AJ64,AQ64)))</f>
        <v>2.23</v>
      </c>
      <c r="L64" s="162">
        <f>IF(Главная!$P$9="Дол.",AZ64,IF(Главная!$P$9="гривен.",AR64,IF(Главная!$P$9="рублей.",AK64,AR64)))</f>
        <v>2.23</v>
      </c>
      <c r="M64" s="162">
        <f>IF(Главная!$P$9="Дол.",BA64,IF(Главная!$P$9="гривен.",AS64,IF(Главная!$P$9="рублей.",AL64,AS64)))</f>
        <v>2.23</v>
      </c>
      <c r="N64" s="162">
        <f>IF(Главная!$P$9="Дол.",BB64,IF(Главная!$P$9="гривен.",AT64,IF(Главная!$P$9="рублей.",AM64,AT64)))</f>
        <v>2.23</v>
      </c>
      <c r="O64" s="162">
        <f>IF(Главная!$P$9="Дол.",BC64,IF(Главная!$P$9="гривен.",AU64,IF(Главная!$P$9="рублей.",AN64,AU64)))</f>
        <v>2.23</v>
      </c>
      <c r="P64" s="148">
        <v>3.1</v>
      </c>
      <c r="Q64" s="148">
        <v>2.9</v>
      </c>
      <c r="R64" s="148">
        <v>2.6</v>
      </c>
      <c r="S64" s="148">
        <v>2.4</v>
      </c>
      <c r="T64" s="148">
        <v>2.2000000000000002</v>
      </c>
      <c r="U64" s="147">
        <v>2.1</v>
      </c>
      <c r="V64" s="147">
        <v>2</v>
      </c>
      <c r="W64" s="147">
        <v>1200</v>
      </c>
      <c r="X64" s="147">
        <v>1100</v>
      </c>
      <c r="Y64" s="147">
        <v>800</v>
      </c>
      <c r="Z64" s="147">
        <v>750</v>
      </c>
      <c r="AA64" s="147">
        <v>700</v>
      </c>
      <c r="AB64" s="147">
        <v>650</v>
      </c>
      <c r="AC64" s="147">
        <v>600</v>
      </c>
      <c r="AD64" s="147">
        <v>550</v>
      </c>
      <c r="AE64" s="147">
        <v>500</v>
      </c>
      <c r="AI64" s="150" t="s">
        <v>2543</v>
      </c>
      <c r="AJ64" s="148">
        <v>5.4</v>
      </c>
      <c r="AK64" s="148">
        <v>4.4000000000000004</v>
      </c>
      <c r="AL64" s="148">
        <v>3.7</v>
      </c>
      <c r="AM64" s="148">
        <v>3.6</v>
      </c>
      <c r="AN64" s="148">
        <v>3.3</v>
      </c>
      <c r="AP64" s="144" t="s">
        <v>2454</v>
      </c>
      <c r="AQ64" s="141">
        <v>2.23</v>
      </c>
      <c r="AR64" s="141">
        <v>2.23</v>
      </c>
      <c r="AS64" s="141">
        <v>2.23</v>
      </c>
      <c r="AT64" s="141">
        <v>2.23</v>
      </c>
      <c r="AU64" s="141">
        <v>2.23</v>
      </c>
      <c r="AV64" s="141">
        <v>2.23</v>
      </c>
      <c r="AW64" s="141">
        <v>2.23</v>
      </c>
      <c r="AX64" s="126" t="s">
        <v>2589</v>
      </c>
    </row>
    <row r="65" spans="1:50" ht="14.5">
      <c r="A65" s="150" t="str">
        <f>IF(Главная!$P$9="Дол.",AX65,IF(Главная!$P$9="гривен.",AP65,IF(Главная!$P$9="рублей.",AI65,AP65)))</f>
        <v>Винница</v>
      </c>
      <c r="B65" s="150">
        <v>6309819</v>
      </c>
      <c r="C65" s="149"/>
      <c r="D65" s="147"/>
      <c r="E65" s="147">
        <v>300</v>
      </c>
      <c r="F65" s="147">
        <v>330</v>
      </c>
      <c r="G65" s="147">
        <v>340</v>
      </c>
      <c r="H65" s="147">
        <v>350</v>
      </c>
      <c r="I65" s="147">
        <v>360</v>
      </c>
      <c r="J65" s="147">
        <v>9</v>
      </c>
      <c r="K65" s="162">
        <f>IF(Главная!$P$9="Дол.",AY65,IF(Главная!$P$9="гривен.",AQ65,IF(Главная!$P$9="рублей.",AJ65,AQ65)))</f>
        <v>1.86</v>
      </c>
      <c r="L65" s="162">
        <f>IF(Главная!$P$9="Дол.",AZ65,IF(Главная!$P$9="гривен.",AR65,IF(Главная!$P$9="рублей.",AK65,AR65)))</f>
        <v>1.86</v>
      </c>
      <c r="M65" s="162">
        <f>IF(Главная!$P$9="Дол.",BA65,IF(Главная!$P$9="гривен.",AS65,IF(Главная!$P$9="рублей.",AL65,AS65)))</f>
        <v>1.86</v>
      </c>
      <c r="N65" s="162">
        <f>IF(Главная!$P$9="Дол.",BB65,IF(Главная!$P$9="гривен.",AT65,IF(Главная!$P$9="рублей.",AM65,AT65)))</f>
        <v>1.86</v>
      </c>
      <c r="O65" s="162">
        <f>IF(Главная!$P$9="Дол.",BC65,IF(Главная!$P$9="гривен.",AU65,IF(Главная!$P$9="рублей.",AN65,AU65)))</f>
        <v>1.86</v>
      </c>
      <c r="P65" s="148">
        <v>6.5</v>
      </c>
      <c r="Q65" s="148">
        <v>6</v>
      </c>
      <c r="R65" s="148">
        <v>5.6</v>
      </c>
      <c r="S65" s="148">
        <v>5.5</v>
      </c>
      <c r="T65" s="148">
        <v>5.4</v>
      </c>
      <c r="U65" s="147">
        <v>5.2</v>
      </c>
      <c r="V65" s="147">
        <v>5</v>
      </c>
      <c r="W65" s="147">
        <v>2000</v>
      </c>
      <c r="X65" s="147">
        <v>1900</v>
      </c>
      <c r="Y65" s="147">
        <v>1800</v>
      </c>
      <c r="Z65" s="147">
        <v>1700</v>
      </c>
      <c r="AA65" s="147">
        <v>1500</v>
      </c>
      <c r="AB65" s="147">
        <v>1450</v>
      </c>
      <c r="AC65" s="147">
        <v>1400</v>
      </c>
      <c r="AD65" s="147">
        <v>1350</v>
      </c>
      <c r="AE65" s="147">
        <v>1300</v>
      </c>
      <c r="AI65" s="150" t="s">
        <v>2542</v>
      </c>
      <c r="AJ65" s="148">
        <v>9</v>
      </c>
      <c r="AK65" s="148">
        <v>8.5</v>
      </c>
      <c r="AL65" s="148">
        <v>8</v>
      </c>
      <c r="AM65" s="148">
        <v>7.5</v>
      </c>
      <c r="AN65" s="148">
        <v>7</v>
      </c>
      <c r="AP65" s="144" t="s">
        <v>2453</v>
      </c>
      <c r="AQ65" s="141">
        <v>1.86</v>
      </c>
      <c r="AR65" s="141">
        <v>1.86</v>
      </c>
      <c r="AS65" s="141">
        <v>1.86</v>
      </c>
      <c r="AT65" s="141">
        <v>1.86</v>
      </c>
      <c r="AU65" s="141">
        <v>1.86</v>
      </c>
      <c r="AV65" s="141">
        <v>1.86</v>
      </c>
      <c r="AW65" s="141">
        <v>1.86</v>
      </c>
      <c r="AX65" s="126" t="s">
        <v>2590</v>
      </c>
    </row>
    <row r="66" spans="1:50" ht="14.5">
      <c r="A66" s="150" t="str">
        <f>IF(Главная!$P$9="Дол.",AX66,IF(Главная!$P$9="гривен.",AP66,IF(Главная!$P$9="рублей.",AI66,AP66)))</f>
        <v>Виноградов</v>
      </c>
      <c r="B66" s="150">
        <v>6307378</v>
      </c>
      <c r="C66" s="149"/>
      <c r="D66" s="147"/>
      <c r="E66" s="147">
        <v>300</v>
      </c>
      <c r="F66" s="147">
        <v>400</v>
      </c>
      <c r="G66" s="147">
        <v>600</v>
      </c>
      <c r="H66" s="147">
        <v>800</v>
      </c>
      <c r="I66" s="147">
        <v>1320</v>
      </c>
      <c r="J66" s="147">
        <v>33</v>
      </c>
      <c r="K66" s="162">
        <f>IF(Главная!$P$9="Дол.",AY66,IF(Главная!$P$9="гривен.",AQ66,IF(Главная!$P$9="рублей.",AJ66,AQ66)))</f>
        <v>2.59</v>
      </c>
      <c r="L66" s="162">
        <f>IF(Главная!$P$9="Дол.",AZ66,IF(Главная!$P$9="гривен.",AR66,IF(Главная!$P$9="рублей.",AK66,AR66)))</f>
        <v>2.59</v>
      </c>
      <c r="M66" s="162">
        <f>IF(Главная!$P$9="Дол.",BA66,IF(Главная!$P$9="гривен.",AS66,IF(Главная!$P$9="рублей.",AL66,AS66)))</f>
        <v>2.59</v>
      </c>
      <c r="N66" s="162">
        <f>IF(Главная!$P$9="Дол.",BB66,IF(Главная!$P$9="гривен.",AT66,IF(Главная!$P$9="рублей.",AM66,AT66)))</f>
        <v>2.59</v>
      </c>
      <c r="O66" s="162">
        <f>IF(Главная!$P$9="Дол.",BC66,IF(Главная!$P$9="гривен.",AU66,IF(Главная!$P$9="рублей.",AN66,AU66)))</f>
        <v>2.59</v>
      </c>
      <c r="P66" s="148">
        <v>30</v>
      </c>
      <c r="Q66" s="148">
        <v>29.5</v>
      </c>
      <c r="R66" s="148">
        <v>29</v>
      </c>
      <c r="S66" s="148">
        <v>28.8</v>
      </c>
      <c r="T66" s="148">
        <v>28.6</v>
      </c>
      <c r="U66" s="147">
        <v>28.4</v>
      </c>
      <c r="V66" s="147">
        <v>28.2</v>
      </c>
      <c r="W66" s="147">
        <v>7100</v>
      </c>
      <c r="X66" s="147">
        <v>7000</v>
      </c>
      <c r="Y66" s="147">
        <v>6900</v>
      </c>
      <c r="Z66" s="147">
        <v>6800</v>
      </c>
      <c r="AA66" s="147">
        <v>6700</v>
      </c>
      <c r="AB66" s="147">
        <v>6600</v>
      </c>
      <c r="AC66" s="147">
        <v>6500</v>
      </c>
      <c r="AD66" s="147">
        <v>6400</v>
      </c>
      <c r="AE66" s="147">
        <v>6300</v>
      </c>
      <c r="AI66" s="150" t="s">
        <v>2541</v>
      </c>
      <c r="AJ66" s="148">
        <v>32</v>
      </c>
      <c r="AK66" s="148">
        <v>31.8</v>
      </c>
      <c r="AL66" s="148">
        <v>31.4</v>
      </c>
      <c r="AM66" s="148">
        <v>31</v>
      </c>
      <c r="AN66" s="148">
        <v>30.5</v>
      </c>
      <c r="AP66" s="144" t="s">
        <v>2452</v>
      </c>
      <c r="AQ66" s="141">
        <v>2.59</v>
      </c>
      <c r="AR66" s="141">
        <v>2.59</v>
      </c>
      <c r="AS66" s="141">
        <v>2.59</v>
      </c>
      <c r="AT66" s="141">
        <v>2.59</v>
      </c>
      <c r="AU66" s="141">
        <v>2.59</v>
      </c>
      <c r="AV66" s="141">
        <v>2.59</v>
      </c>
      <c r="AW66" s="141">
        <v>2.59</v>
      </c>
      <c r="AX66" s="126" t="s">
        <v>2583</v>
      </c>
    </row>
    <row r="67" spans="1:50" ht="14.5">
      <c r="A67" s="150" t="str">
        <f>IF(Главная!$P$9="Дол.",AX67,IF(Главная!$P$9="гривен.",AP67,IF(Главная!$P$9="рублей.",AI67,AP67)))</f>
        <v>Вишневое</v>
      </c>
      <c r="B67" s="150">
        <v>6304532</v>
      </c>
      <c r="C67" s="149"/>
      <c r="D67" s="147"/>
      <c r="E67" s="147">
        <v>290</v>
      </c>
      <c r="F67" s="147">
        <v>300</v>
      </c>
      <c r="G67" s="147">
        <v>310</v>
      </c>
      <c r="H67" s="147">
        <v>320</v>
      </c>
      <c r="I67" s="147">
        <v>330</v>
      </c>
      <c r="J67" s="147">
        <v>8.1999999999999993</v>
      </c>
      <c r="K67" s="162">
        <f>IF(Главная!$P$9="Дол.",AY67,IF(Главная!$P$9="гривен.",AQ67,IF(Главная!$P$9="рублей.",AJ67,AQ67)))</f>
        <v>1.86</v>
      </c>
      <c r="L67" s="162">
        <f>IF(Главная!$P$9="Дол.",AZ67,IF(Главная!$P$9="гривен.",AR67,IF(Главная!$P$9="рублей.",AK67,AR67)))</f>
        <v>1.86</v>
      </c>
      <c r="M67" s="162">
        <f>IF(Главная!$P$9="Дол.",BA67,IF(Главная!$P$9="гривен.",AS67,IF(Главная!$P$9="рублей.",AL67,AS67)))</f>
        <v>1.86</v>
      </c>
      <c r="N67" s="162">
        <f>IF(Главная!$P$9="Дол.",BB67,IF(Главная!$P$9="гривен.",AT67,IF(Главная!$P$9="рублей.",AM67,AT67)))</f>
        <v>1.86</v>
      </c>
      <c r="O67" s="162">
        <f>IF(Главная!$P$9="Дол.",BC67,IF(Главная!$P$9="гривен.",AU67,IF(Главная!$P$9="рублей.",AN67,AU67)))</f>
        <v>1.86</v>
      </c>
      <c r="P67" s="148">
        <v>5.8</v>
      </c>
      <c r="Q67" s="148">
        <v>5.6</v>
      </c>
      <c r="R67" s="148">
        <v>5.4</v>
      </c>
      <c r="S67" s="148">
        <v>5.2</v>
      </c>
      <c r="T67" s="148">
        <v>5</v>
      </c>
      <c r="U67" s="147">
        <v>4.8</v>
      </c>
      <c r="V67" s="147">
        <v>4.5999999999999996</v>
      </c>
      <c r="W67" s="147">
        <v>1500</v>
      </c>
      <c r="X67" s="147">
        <v>1400</v>
      </c>
      <c r="Y67" s="147">
        <v>1350</v>
      </c>
      <c r="Z67" s="147">
        <v>1300</v>
      </c>
      <c r="AA67" s="147">
        <v>1250</v>
      </c>
      <c r="AB67" s="147">
        <v>1200</v>
      </c>
      <c r="AC67" s="147">
        <v>1150</v>
      </c>
      <c r="AD67" s="147">
        <v>1100</v>
      </c>
      <c r="AE67" s="147">
        <v>1000</v>
      </c>
      <c r="AI67" s="150" t="s">
        <v>1005</v>
      </c>
      <c r="AJ67" s="148">
        <v>7.5</v>
      </c>
      <c r="AK67" s="148">
        <v>7</v>
      </c>
      <c r="AL67" s="148">
        <v>6.4</v>
      </c>
      <c r="AM67" s="148">
        <v>6.2</v>
      </c>
      <c r="AN67" s="148">
        <v>6</v>
      </c>
      <c r="AP67" s="144" t="s">
        <v>2451</v>
      </c>
      <c r="AQ67" s="141">
        <v>1.86</v>
      </c>
      <c r="AR67" s="141">
        <v>1.86</v>
      </c>
      <c r="AS67" s="141">
        <v>1.86</v>
      </c>
      <c r="AT67" s="141">
        <v>1.86</v>
      </c>
      <c r="AU67" s="141">
        <v>1.86</v>
      </c>
      <c r="AV67" s="141">
        <v>1.86</v>
      </c>
      <c r="AW67" s="141">
        <v>1.86</v>
      </c>
      <c r="AX67" s="126" t="s">
        <v>2584</v>
      </c>
    </row>
    <row r="68" spans="1:50" ht="21">
      <c r="A68" s="150" t="str">
        <f>IF(Главная!$P$9="Дол.",AX68,IF(Главная!$P$9="гривен.",AP68,IF(Главная!$P$9="рублей.",AI68,AP68)))</f>
        <v>Владимир-Волынский</v>
      </c>
      <c r="B68" s="150">
        <v>6308559</v>
      </c>
      <c r="C68" s="149"/>
      <c r="D68" s="147">
        <v>2340</v>
      </c>
      <c r="E68" s="147"/>
      <c r="F68" s="147"/>
      <c r="G68" s="147"/>
      <c r="H68" s="147"/>
      <c r="I68" s="147"/>
      <c r="J68" s="147"/>
      <c r="K68" s="162">
        <f>IF(Главная!$P$9="Дол.",AY68,IF(Главная!$P$9="гривен.",AQ68,IF(Главная!$P$9="рублей.",AJ68,AQ68)))</f>
        <v>2.12</v>
      </c>
      <c r="L68" s="162">
        <f>IF(Главная!$P$9="Дол.",AZ68,IF(Главная!$P$9="гривен.",AR68,IF(Главная!$P$9="рублей.",AK68,AR68)))</f>
        <v>2.12</v>
      </c>
      <c r="M68" s="162">
        <f>IF(Главная!$P$9="Дол.",BA68,IF(Главная!$P$9="гривен.",AS68,IF(Главная!$P$9="рублей.",AL68,AS68)))</f>
        <v>2.12</v>
      </c>
      <c r="N68" s="162">
        <f>IF(Главная!$P$9="Дол.",BB68,IF(Главная!$P$9="гривен.",AT68,IF(Главная!$P$9="рублей.",AM68,AT68)))</f>
        <v>2.12</v>
      </c>
      <c r="O68" s="162">
        <f>IF(Главная!$P$9="Дол.",BC68,IF(Главная!$P$9="гривен.",AU68,IF(Главная!$P$9="рублей.",AN68,AU68)))</f>
        <v>2.12</v>
      </c>
      <c r="P68" s="148">
        <v>1.8</v>
      </c>
      <c r="Q68" s="148">
        <v>1.4</v>
      </c>
      <c r="R68" s="148">
        <v>1.2</v>
      </c>
      <c r="S68" s="148">
        <v>1.1000000000000001</v>
      </c>
      <c r="T68" s="148">
        <v>0.9</v>
      </c>
      <c r="U68" s="147">
        <v>0.6</v>
      </c>
      <c r="V68" s="147">
        <v>0.6</v>
      </c>
      <c r="W68" s="147"/>
      <c r="X68" s="147">
        <v>740</v>
      </c>
      <c r="Y68" s="147">
        <v>680</v>
      </c>
      <c r="Z68" s="147">
        <v>420</v>
      </c>
      <c r="AA68" s="147">
        <v>390</v>
      </c>
      <c r="AB68" s="147">
        <v>330</v>
      </c>
      <c r="AC68" s="147">
        <v>270</v>
      </c>
      <c r="AD68" s="147">
        <v>180</v>
      </c>
      <c r="AE68" s="147">
        <v>170</v>
      </c>
      <c r="AI68" s="150" t="s">
        <v>2540</v>
      </c>
      <c r="AJ68" s="148"/>
      <c r="AK68" s="148">
        <v>3.9</v>
      </c>
      <c r="AL68" s="148">
        <v>2.9</v>
      </c>
      <c r="AM68" s="148">
        <v>2.6</v>
      </c>
      <c r="AN68" s="148">
        <v>2.2999999999999998</v>
      </c>
      <c r="AP68" s="144" t="s">
        <v>2450</v>
      </c>
      <c r="AQ68" s="141">
        <v>2.12</v>
      </c>
      <c r="AR68" s="141">
        <v>2.12</v>
      </c>
      <c r="AS68" s="141">
        <v>2.12</v>
      </c>
      <c r="AT68" s="141">
        <v>2.12</v>
      </c>
      <c r="AU68" s="141">
        <v>2.12</v>
      </c>
      <c r="AV68" s="141">
        <v>2.12</v>
      </c>
      <c r="AW68" s="141">
        <v>2.12</v>
      </c>
      <c r="AX68" s="126" t="s">
        <v>2585</v>
      </c>
    </row>
    <row r="69" spans="1:50" ht="14.5">
      <c r="A69" s="150" t="str">
        <f>IF(Главная!$P$9="Дол.",AX69,IF(Главная!$P$9="гривен.",AP69,IF(Главная!$P$9="рублей.",AI69,AP69)))</f>
        <v>Вознесенск</v>
      </c>
      <c r="B69" s="150">
        <v>6309381</v>
      </c>
      <c r="C69" s="151" t="s">
        <v>2513</v>
      </c>
      <c r="D69" s="147"/>
      <c r="E69" s="147">
        <v>300</v>
      </c>
      <c r="F69" s="147">
        <v>400</v>
      </c>
      <c r="G69" s="147">
        <v>560</v>
      </c>
      <c r="H69" s="147">
        <v>570</v>
      </c>
      <c r="I69" s="147">
        <v>580</v>
      </c>
      <c r="J69" s="147">
        <v>14.5</v>
      </c>
      <c r="K69" s="162">
        <f>IF(Главная!$P$9="Дол.",AY69,IF(Главная!$P$9="гривен.",AQ69,IF(Главная!$P$9="рублей.",AJ69,AQ69)))</f>
        <v>1.74</v>
      </c>
      <c r="L69" s="162">
        <f>IF(Главная!$P$9="Дол.",AZ69,IF(Главная!$P$9="гривен.",AR69,IF(Главная!$P$9="рублей.",AK69,AR69)))</f>
        <v>1.74</v>
      </c>
      <c r="M69" s="162">
        <f>IF(Главная!$P$9="Дол.",BA69,IF(Главная!$P$9="гривен.",AS69,IF(Главная!$P$9="рублей.",AL69,AS69)))</f>
        <v>1.74</v>
      </c>
      <c r="N69" s="162">
        <f>IF(Главная!$P$9="Дол.",BB69,IF(Главная!$P$9="гривен.",AT69,IF(Главная!$P$9="рублей.",AM69,AT69)))</f>
        <v>1.74</v>
      </c>
      <c r="O69" s="162">
        <f>IF(Главная!$P$9="Дол.",BC69,IF(Главная!$P$9="гривен.",AU69,IF(Главная!$P$9="рублей.",AN69,AU69)))</f>
        <v>1.74</v>
      </c>
      <c r="P69" s="148">
        <v>13.4</v>
      </c>
      <c r="Q69" s="148">
        <v>13.2</v>
      </c>
      <c r="R69" s="148">
        <v>12.8</v>
      </c>
      <c r="S69" s="148">
        <v>12.6</v>
      </c>
      <c r="T69" s="148">
        <v>12.4</v>
      </c>
      <c r="U69" s="147">
        <v>12.2</v>
      </c>
      <c r="V69" s="147">
        <v>12</v>
      </c>
      <c r="W69" s="147">
        <v>3400</v>
      </c>
      <c r="X69" s="147">
        <v>3300</v>
      </c>
      <c r="Y69" s="147">
        <v>3200</v>
      </c>
      <c r="Z69" s="147">
        <v>3100</v>
      </c>
      <c r="AA69" s="147">
        <v>3050</v>
      </c>
      <c r="AB69" s="147">
        <v>3000</v>
      </c>
      <c r="AC69" s="147">
        <v>2900</v>
      </c>
      <c r="AD69" s="147">
        <v>2850</v>
      </c>
      <c r="AE69" s="147">
        <v>2800</v>
      </c>
      <c r="AI69" s="150" t="s">
        <v>992</v>
      </c>
      <c r="AJ69" s="148">
        <v>14.5</v>
      </c>
      <c r="AK69" s="148">
        <v>14</v>
      </c>
      <c r="AL69" s="148">
        <v>13.9</v>
      </c>
      <c r="AM69" s="148">
        <v>13.8</v>
      </c>
      <c r="AN69" s="148">
        <v>13.6</v>
      </c>
      <c r="AP69" s="144" t="s">
        <v>2449</v>
      </c>
      <c r="AQ69" s="141">
        <v>1.74</v>
      </c>
      <c r="AR69" s="141">
        <v>1.74</v>
      </c>
      <c r="AS69" s="141">
        <v>1.74</v>
      </c>
      <c r="AT69" s="141">
        <v>1.74</v>
      </c>
      <c r="AU69" s="141">
        <v>1.74</v>
      </c>
      <c r="AV69" s="141">
        <v>1.74</v>
      </c>
      <c r="AW69" s="141">
        <v>1.74</v>
      </c>
      <c r="AX69" s="126" t="s">
        <v>2586</v>
      </c>
    </row>
    <row r="70" spans="1:50" ht="21">
      <c r="A70" s="150" t="str">
        <f>IF(Главная!$P$9="Дол.",AX70,IF(Главная!$P$9="гривен.",AP70,IF(Главная!$P$9="рублей.",AI70,AP70)))</f>
        <v>Волноваха</v>
      </c>
      <c r="B70" s="150">
        <v>6307391</v>
      </c>
      <c r="C70" s="149"/>
      <c r="D70" s="147"/>
      <c r="E70" s="147">
        <v>290</v>
      </c>
      <c r="F70" s="147">
        <v>300</v>
      </c>
      <c r="G70" s="147">
        <v>310</v>
      </c>
      <c r="H70" s="147">
        <v>320</v>
      </c>
      <c r="I70" s="147">
        <v>330</v>
      </c>
      <c r="J70" s="147">
        <v>8.1999999999999993</v>
      </c>
      <c r="K70" s="162">
        <f>IF(Главная!$P$9="Дол.",AY70,IF(Главная!$P$9="гривен.",AQ70,IF(Главная!$P$9="рублей.",AJ70,AQ70)))</f>
        <v>2.23</v>
      </c>
      <c r="L70" s="162">
        <f>IF(Главная!$P$9="Дол.",AZ70,IF(Главная!$P$9="гривен.",AR70,IF(Главная!$P$9="рублей.",AK70,AR70)))</f>
        <v>2.23</v>
      </c>
      <c r="M70" s="162">
        <f>IF(Главная!$P$9="Дол.",BA70,IF(Главная!$P$9="гривен.",AS70,IF(Главная!$P$9="рублей.",AL70,AS70)))</f>
        <v>2.23</v>
      </c>
      <c r="N70" s="162">
        <f>IF(Главная!$P$9="Дол.",BB70,IF(Главная!$P$9="гривен.",AT70,IF(Главная!$P$9="рублей.",AM70,AT70)))</f>
        <v>2.23</v>
      </c>
      <c r="O70" s="162">
        <f>IF(Главная!$P$9="Дол.",BC70,IF(Главная!$P$9="гривен.",AU70,IF(Главная!$P$9="рублей.",AN70,AU70)))</f>
        <v>2.23</v>
      </c>
      <c r="P70" s="148">
        <v>5.8</v>
      </c>
      <c r="Q70" s="148">
        <v>5.6</v>
      </c>
      <c r="R70" s="148">
        <v>5.4</v>
      </c>
      <c r="S70" s="148">
        <v>5.2</v>
      </c>
      <c r="T70" s="148">
        <v>5</v>
      </c>
      <c r="U70" s="147">
        <v>4.8</v>
      </c>
      <c r="V70" s="147">
        <v>4.5999999999999996</v>
      </c>
      <c r="W70" s="147">
        <v>1500</v>
      </c>
      <c r="X70" s="147">
        <v>1400</v>
      </c>
      <c r="Y70" s="147">
        <v>1350</v>
      </c>
      <c r="Z70" s="147">
        <v>1300</v>
      </c>
      <c r="AA70" s="147">
        <v>1250</v>
      </c>
      <c r="AB70" s="147">
        <v>1200</v>
      </c>
      <c r="AC70" s="147">
        <v>1150</v>
      </c>
      <c r="AD70" s="147">
        <v>1100</v>
      </c>
      <c r="AE70" s="147">
        <v>1000</v>
      </c>
      <c r="AI70" s="150" t="s">
        <v>2539</v>
      </c>
      <c r="AJ70" s="148">
        <v>7.5</v>
      </c>
      <c r="AK70" s="148">
        <v>7</v>
      </c>
      <c r="AL70" s="148">
        <v>6.4</v>
      </c>
      <c r="AM70" s="148">
        <v>6.2</v>
      </c>
      <c r="AN70" s="148">
        <v>6</v>
      </c>
      <c r="AP70" s="144" t="s">
        <v>2448</v>
      </c>
      <c r="AQ70" s="141">
        <v>2.23</v>
      </c>
      <c r="AR70" s="141">
        <v>2.23</v>
      </c>
      <c r="AS70" s="141">
        <v>2.23</v>
      </c>
      <c r="AT70" s="141">
        <v>2.23</v>
      </c>
      <c r="AU70" s="141">
        <v>2.23</v>
      </c>
      <c r="AV70" s="141">
        <v>2.23</v>
      </c>
      <c r="AW70" s="141">
        <v>2.23</v>
      </c>
      <c r="AX70" s="126" t="s">
        <v>2587</v>
      </c>
    </row>
    <row r="71" spans="1:50" ht="14.5">
      <c r="A71" s="150" t="str">
        <f>IF(Главная!$P$9="Дол.",AX71,IF(Главная!$P$9="гривен.",AP71,IF(Главная!$P$9="рублей.",AI71,AP71)))</f>
        <v>Волочиск</v>
      </c>
      <c r="B71" s="150">
        <v>6308003</v>
      </c>
      <c r="C71" s="149"/>
      <c r="D71" s="147"/>
      <c r="E71" s="147">
        <v>300</v>
      </c>
      <c r="F71" s="147">
        <v>400</v>
      </c>
      <c r="G71" s="147">
        <v>600</v>
      </c>
      <c r="H71" s="147">
        <v>800</v>
      </c>
      <c r="I71" s="147">
        <v>840</v>
      </c>
      <c r="J71" s="147">
        <v>21</v>
      </c>
      <c r="K71" s="162">
        <f>IF(Главная!$P$9="Дол.",AY71,IF(Главная!$P$9="гривен.",AQ71,IF(Главная!$P$9="рублей.",AJ71,AQ71)))</f>
        <v>2.59</v>
      </c>
      <c r="L71" s="162">
        <f>IF(Главная!$P$9="Дол.",AZ71,IF(Главная!$P$9="гривен.",AR71,IF(Главная!$P$9="рублей.",AK71,AR71)))</f>
        <v>2.59</v>
      </c>
      <c r="M71" s="162">
        <f>IF(Главная!$P$9="Дол.",BA71,IF(Главная!$P$9="гривен.",AS71,IF(Главная!$P$9="рублей.",AL71,AS71)))</f>
        <v>2.59</v>
      </c>
      <c r="N71" s="162">
        <f>IF(Главная!$P$9="Дол.",BB71,IF(Главная!$P$9="гривен.",AT71,IF(Главная!$P$9="рублей.",AM71,AT71)))</f>
        <v>2.59</v>
      </c>
      <c r="O71" s="162">
        <f>IF(Главная!$P$9="Дол.",BC71,IF(Главная!$P$9="гривен.",AU71,IF(Главная!$P$9="рублей.",AN71,AU71)))</f>
        <v>2.59</v>
      </c>
      <c r="P71" s="148">
        <v>18.8</v>
      </c>
      <c r="Q71" s="148">
        <v>18.399999999999999</v>
      </c>
      <c r="R71" s="148">
        <v>18.2</v>
      </c>
      <c r="S71" s="148">
        <v>18</v>
      </c>
      <c r="T71" s="148">
        <v>17.8</v>
      </c>
      <c r="U71" s="147">
        <v>17.5</v>
      </c>
      <c r="V71" s="147">
        <v>17</v>
      </c>
      <c r="W71" s="147">
        <v>4500</v>
      </c>
      <c r="X71" s="147">
        <v>4400</v>
      </c>
      <c r="Y71" s="147">
        <v>4300</v>
      </c>
      <c r="Z71" s="147">
        <v>4200</v>
      </c>
      <c r="AA71" s="147">
        <v>4100</v>
      </c>
      <c r="AB71" s="147">
        <v>4000</v>
      </c>
      <c r="AC71" s="147">
        <v>3900</v>
      </c>
      <c r="AD71" s="147">
        <v>3800</v>
      </c>
      <c r="AE71" s="147">
        <v>3700</v>
      </c>
      <c r="AI71" s="150" t="s">
        <v>2538</v>
      </c>
      <c r="AJ71" s="148">
        <v>21</v>
      </c>
      <c r="AK71" s="148">
        <v>20.5</v>
      </c>
      <c r="AL71" s="148">
        <v>20</v>
      </c>
      <c r="AM71" s="148">
        <v>19.5</v>
      </c>
      <c r="AN71" s="148">
        <v>19</v>
      </c>
      <c r="AP71" s="144" t="s">
        <v>2447</v>
      </c>
      <c r="AQ71" s="141">
        <v>2.59</v>
      </c>
      <c r="AR71" s="141">
        <v>2.59</v>
      </c>
      <c r="AS71" s="141">
        <v>2.59</v>
      </c>
      <c r="AT71" s="141">
        <v>2.59</v>
      </c>
      <c r="AU71" s="141">
        <v>2.59</v>
      </c>
      <c r="AV71" s="141">
        <v>2.59</v>
      </c>
      <c r="AW71" s="141">
        <v>2.59</v>
      </c>
      <c r="AX71" s="126" t="s">
        <v>2588</v>
      </c>
    </row>
    <row r="72" spans="1:50" ht="14.5">
      <c r="A72" s="150" t="str">
        <f>IF(Главная!$P$9="Дол.",AX72,IF(Главная!$P$9="гривен.",AP72,IF(Главная!$P$9="рублей.",AI72,AP72)))</f>
        <v>Вольногорск</v>
      </c>
      <c r="B72" s="150">
        <v>6307372</v>
      </c>
      <c r="C72" s="149"/>
      <c r="D72" s="147"/>
      <c r="E72" s="147">
        <v>300</v>
      </c>
      <c r="F72" s="147">
        <v>400</v>
      </c>
      <c r="G72" s="147">
        <v>600</v>
      </c>
      <c r="H72" s="147">
        <v>670</v>
      </c>
      <c r="I72" s="147">
        <v>680</v>
      </c>
      <c r="J72" s="147">
        <v>17</v>
      </c>
      <c r="K72" s="162">
        <f>IF(Главная!$P$9="Дол.",AY72,IF(Главная!$P$9="гривен.",AQ72,IF(Главная!$P$9="рублей.",AJ72,AQ72)))</f>
        <v>1.86</v>
      </c>
      <c r="L72" s="162">
        <f>IF(Главная!$P$9="Дол.",AZ72,IF(Главная!$P$9="гривен.",AR72,IF(Главная!$P$9="рублей.",AK72,AR72)))</f>
        <v>1.86</v>
      </c>
      <c r="M72" s="162">
        <f>IF(Главная!$P$9="Дол.",BA72,IF(Главная!$P$9="гривен.",AS72,IF(Главная!$P$9="рублей.",AL72,AS72)))</f>
        <v>1.86</v>
      </c>
      <c r="N72" s="162">
        <f>IF(Главная!$P$9="Дол.",BB72,IF(Главная!$P$9="гривен.",AT72,IF(Главная!$P$9="рублей.",AM72,AT72)))</f>
        <v>1.86</v>
      </c>
      <c r="O72" s="162">
        <f>IF(Главная!$P$9="Дол.",BC72,IF(Главная!$P$9="гривен.",AU72,IF(Главная!$P$9="рублей.",AN72,AU72)))</f>
        <v>1.86</v>
      </c>
      <c r="P72" s="148">
        <v>16.2</v>
      </c>
      <c r="Q72" s="148">
        <v>16</v>
      </c>
      <c r="R72" s="148">
        <v>15.8</v>
      </c>
      <c r="S72" s="148">
        <v>15.6</v>
      </c>
      <c r="T72" s="148">
        <v>15.4</v>
      </c>
      <c r="U72" s="147">
        <v>15.2</v>
      </c>
      <c r="V72" s="147">
        <v>15</v>
      </c>
      <c r="W72" s="147">
        <v>4100</v>
      </c>
      <c r="X72" s="147">
        <v>4000</v>
      </c>
      <c r="Y72" s="147">
        <v>3950</v>
      </c>
      <c r="Z72" s="147">
        <v>3900</v>
      </c>
      <c r="AA72" s="147">
        <v>3850</v>
      </c>
      <c r="AB72" s="147">
        <v>3800</v>
      </c>
      <c r="AC72" s="147">
        <v>3750</v>
      </c>
      <c r="AD72" s="147">
        <v>3700</v>
      </c>
      <c r="AE72" s="147">
        <v>3600</v>
      </c>
      <c r="AI72" s="150" t="s">
        <v>2537</v>
      </c>
      <c r="AJ72" s="148">
        <v>17</v>
      </c>
      <c r="AK72" s="148">
        <v>16.8</v>
      </c>
      <c r="AL72" s="148">
        <v>16.600000000000001</v>
      </c>
      <c r="AM72" s="148">
        <v>16.5</v>
      </c>
      <c r="AN72" s="148">
        <v>16.399999999999999</v>
      </c>
      <c r="AP72" s="144" t="s">
        <v>2446</v>
      </c>
      <c r="AQ72" s="141">
        <v>1.86</v>
      </c>
      <c r="AR72" s="141">
        <v>1.86</v>
      </c>
      <c r="AS72" s="141">
        <v>1.86</v>
      </c>
      <c r="AT72" s="141">
        <v>1.86</v>
      </c>
      <c r="AU72" s="141">
        <v>1.86</v>
      </c>
      <c r="AV72" s="141">
        <v>1.86</v>
      </c>
      <c r="AW72" s="141">
        <v>1.86</v>
      </c>
      <c r="AX72" s="126" t="s">
        <v>2589</v>
      </c>
    </row>
    <row r="73" spans="1:50" ht="21">
      <c r="A73" s="150" t="str">
        <f>IF(Главная!$P$9="Дол.",AX73,IF(Главная!$P$9="гривен.",AP73,IF(Главная!$P$9="рублей.",AI73,AP73)))</f>
        <v>Вольнянск</v>
      </c>
      <c r="B73" s="150">
        <v>6309888</v>
      </c>
      <c r="C73" s="149"/>
      <c r="D73" s="147"/>
      <c r="E73" s="147">
        <v>300</v>
      </c>
      <c r="F73" s="147">
        <v>400</v>
      </c>
      <c r="G73" s="147">
        <v>420</v>
      </c>
      <c r="H73" s="147">
        <v>430</v>
      </c>
      <c r="I73" s="147">
        <v>440</v>
      </c>
      <c r="J73" s="147">
        <v>11</v>
      </c>
      <c r="K73" s="162">
        <f>IF(Главная!$P$9="Дол.",AY73,IF(Главная!$P$9="гривен.",AQ73,IF(Главная!$P$9="рублей.",AJ73,AQ73)))</f>
        <v>1.47</v>
      </c>
      <c r="L73" s="162">
        <f>IF(Главная!$P$9="Дол.",AZ73,IF(Главная!$P$9="гривен.",AR73,IF(Главная!$P$9="рублей.",AK73,AR73)))</f>
        <v>1.47</v>
      </c>
      <c r="M73" s="162">
        <f>IF(Главная!$P$9="Дол.",BA73,IF(Главная!$P$9="гривен.",AS73,IF(Главная!$P$9="рублей.",AL73,AS73)))</f>
        <v>1.47</v>
      </c>
      <c r="N73" s="162">
        <f>IF(Главная!$P$9="Дол.",BB73,IF(Главная!$P$9="гривен.",AT73,IF(Главная!$P$9="рублей.",AM73,AT73)))</f>
        <v>1.47</v>
      </c>
      <c r="O73" s="162">
        <f>IF(Главная!$P$9="Дол.",BC73,IF(Главная!$P$9="гривен.",AU73,IF(Главная!$P$9="рублей.",AN73,AU73)))</f>
        <v>1.47</v>
      </c>
      <c r="P73" s="148">
        <v>9.6</v>
      </c>
      <c r="Q73" s="148">
        <v>9.4</v>
      </c>
      <c r="R73" s="148">
        <v>9.3000000000000007</v>
      </c>
      <c r="S73" s="148">
        <v>9.1999999999999993</v>
      </c>
      <c r="T73" s="148">
        <v>9</v>
      </c>
      <c r="U73" s="147">
        <v>8.8000000000000007</v>
      </c>
      <c r="V73" s="147">
        <v>8.6</v>
      </c>
      <c r="W73" s="147">
        <v>2500</v>
      </c>
      <c r="X73" s="147">
        <v>2400</v>
      </c>
      <c r="Y73" s="147">
        <v>2300</v>
      </c>
      <c r="Z73" s="147">
        <v>2200</v>
      </c>
      <c r="AA73" s="147">
        <v>2100</v>
      </c>
      <c r="AB73" s="147">
        <v>2050</v>
      </c>
      <c r="AC73" s="147">
        <v>2000</v>
      </c>
      <c r="AD73" s="147">
        <v>1950</v>
      </c>
      <c r="AE73" s="147">
        <v>1900</v>
      </c>
      <c r="AI73" s="150" t="s">
        <v>2536</v>
      </c>
      <c r="AJ73" s="148">
        <v>11</v>
      </c>
      <c r="AK73" s="148">
        <v>10.8</v>
      </c>
      <c r="AL73" s="148">
        <v>10.6</v>
      </c>
      <c r="AM73" s="148">
        <v>10</v>
      </c>
      <c r="AN73" s="148">
        <v>9.8000000000000007</v>
      </c>
      <c r="AP73" s="144" t="s">
        <v>2445</v>
      </c>
      <c r="AQ73" s="141">
        <v>1.47</v>
      </c>
      <c r="AR73" s="141">
        <v>1.47</v>
      </c>
      <c r="AS73" s="141">
        <v>1.47</v>
      </c>
      <c r="AT73" s="141">
        <v>1.47</v>
      </c>
      <c r="AU73" s="141">
        <v>1.47</v>
      </c>
      <c r="AV73" s="141">
        <v>1.47</v>
      </c>
      <c r="AW73" s="141">
        <v>1.47</v>
      </c>
      <c r="AX73" s="126" t="s">
        <v>2590</v>
      </c>
    </row>
    <row r="74" spans="1:50" ht="21">
      <c r="A74" s="150" t="str">
        <f>IF(Главная!$P$9="Дол.",AX74,IF(Главная!$P$9="гривен.",AP74,IF(Главная!$P$9="рублей.",AI74,AP74)))</f>
        <v>Вышгород</v>
      </c>
      <c r="B74" s="150">
        <v>6309400</v>
      </c>
      <c r="C74" s="149"/>
      <c r="D74" s="147"/>
      <c r="E74" s="147">
        <v>290</v>
      </c>
      <c r="F74" s="147">
        <v>300</v>
      </c>
      <c r="G74" s="147">
        <v>310</v>
      </c>
      <c r="H74" s="147">
        <v>320</v>
      </c>
      <c r="I74" s="147">
        <v>330</v>
      </c>
      <c r="J74" s="147">
        <v>8.1999999999999993</v>
      </c>
      <c r="K74" s="162">
        <f>IF(Главная!$P$9="Дол.",AY74,IF(Главная!$P$9="гривен.",AQ74,IF(Главная!$P$9="рублей.",AJ74,AQ74)))</f>
        <v>1.86</v>
      </c>
      <c r="L74" s="162">
        <f>IF(Главная!$P$9="Дол.",AZ74,IF(Главная!$P$9="гривен.",AR74,IF(Главная!$P$9="рублей.",AK74,AR74)))</f>
        <v>1.86</v>
      </c>
      <c r="M74" s="162">
        <f>IF(Главная!$P$9="Дол.",BA74,IF(Главная!$P$9="гривен.",AS74,IF(Главная!$P$9="рублей.",AL74,AS74)))</f>
        <v>1.86</v>
      </c>
      <c r="N74" s="162">
        <f>IF(Главная!$P$9="Дол.",BB74,IF(Главная!$P$9="гривен.",AT74,IF(Главная!$P$9="рублей.",AM74,AT74)))</f>
        <v>1.86</v>
      </c>
      <c r="O74" s="162">
        <f>IF(Главная!$P$9="Дол.",BC74,IF(Главная!$P$9="гривен.",AU74,IF(Главная!$P$9="рублей.",AN74,AU74)))</f>
        <v>1.86</v>
      </c>
      <c r="P74" s="148">
        <v>5.8</v>
      </c>
      <c r="Q74" s="148">
        <v>5.6</v>
      </c>
      <c r="R74" s="148">
        <v>5.4</v>
      </c>
      <c r="S74" s="148">
        <v>5.2</v>
      </c>
      <c r="T74" s="148">
        <v>5</v>
      </c>
      <c r="U74" s="147">
        <v>4.8</v>
      </c>
      <c r="V74" s="147">
        <v>4.5999999999999996</v>
      </c>
      <c r="W74" s="147">
        <v>1500</v>
      </c>
      <c r="X74" s="147">
        <v>1400</v>
      </c>
      <c r="Y74" s="147">
        <v>1350</v>
      </c>
      <c r="Z74" s="147">
        <v>1300</v>
      </c>
      <c r="AA74" s="147">
        <v>1250</v>
      </c>
      <c r="AB74" s="147">
        <v>1200</v>
      </c>
      <c r="AC74" s="147">
        <v>1150</v>
      </c>
      <c r="AD74" s="147">
        <v>1100</v>
      </c>
      <c r="AE74" s="147">
        <v>1000</v>
      </c>
      <c r="AI74" s="150" t="s">
        <v>926</v>
      </c>
      <c r="AJ74" s="148">
        <v>7.5</v>
      </c>
      <c r="AK74" s="148">
        <v>7</v>
      </c>
      <c r="AL74" s="148">
        <v>6.4</v>
      </c>
      <c r="AM74" s="148">
        <v>6.2</v>
      </c>
      <c r="AN74" s="148">
        <v>6</v>
      </c>
      <c r="AP74" s="144" t="s">
        <v>2444</v>
      </c>
      <c r="AQ74" s="141">
        <v>1.86</v>
      </c>
      <c r="AR74" s="141">
        <v>1.86</v>
      </c>
      <c r="AS74" s="141">
        <v>1.86</v>
      </c>
      <c r="AT74" s="141">
        <v>1.86</v>
      </c>
      <c r="AU74" s="141">
        <v>1.86</v>
      </c>
      <c r="AV74" s="141">
        <v>1.86</v>
      </c>
      <c r="AW74" s="141">
        <v>1.86</v>
      </c>
      <c r="AX74" s="126" t="s">
        <v>2583</v>
      </c>
    </row>
    <row r="75" spans="1:50" ht="21">
      <c r="A75" s="150" t="str">
        <f>IF(Главная!$P$9="Дол.",AX75,IF(Главная!$P$9="гривен.",AP75,IF(Главная!$P$9="рублей.",AI75,AP75)))</f>
        <v>Гадяч</v>
      </c>
      <c r="B75" s="150">
        <v>6309657</v>
      </c>
      <c r="C75" s="149"/>
      <c r="D75" s="147"/>
      <c r="E75" s="147">
        <v>300</v>
      </c>
      <c r="F75" s="147">
        <v>330</v>
      </c>
      <c r="G75" s="147">
        <v>340</v>
      </c>
      <c r="H75" s="147">
        <v>350</v>
      </c>
      <c r="I75" s="147">
        <v>360</v>
      </c>
      <c r="J75" s="147">
        <v>9</v>
      </c>
      <c r="K75" s="162">
        <f>IF(Главная!$P$9="Дол.",AY75,IF(Главная!$P$9="гривен.",AQ75,IF(Главная!$P$9="рублей.",AJ75,AQ75)))</f>
        <v>1.47</v>
      </c>
      <c r="L75" s="162">
        <f>IF(Главная!$P$9="Дол.",AZ75,IF(Главная!$P$9="гривен.",AR75,IF(Главная!$P$9="рублей.",AK75,AR75)))</f>
        <v>1.47</v>
      </c>
      <c r="M75" s="162">
        <f>IF(Главная!$P$9="Дол.",BA75,IF(Главная!$P$9="гривен.",AS75,IF(Главная!$P$9="рублей.",AL75,AS75)))</f>
        <v>1.47</v>
      </c>
      <c r="N75" s="162">
        <f>IF(Главная!$P$9="Дол.",BB75,IF(Главная!$P$9="гривен.",AT75,IF(Главная!$P$9="рублей.",AM75,AT75)))</f>
        <v>1.47</v>
      </c>
      <c r="O75" s="162">
        <f>IF(Главная!$P$9="Дол.",BC75,IF(Главная!$P$9="гривен.",AU75,IF(Главная!$P$9="рублей.",AN75,AU75)))</f>
        <v>1.47</v>
      </c>
      <c r="P75" s="148">
        <v>6.5</v>
      </c>
      <c r="Q75" s="148">
        <v>6</v>
      </c>
      <c r="R75" s="148">
        <v>5.8</v>
      </c>
      <c r="S75" s="148">
        <v>5.6</v>
      </c>
      <c r="T75" s="148">
        <v>5.4</v>
      </c>
      <c r="U75" s="147">
        <v>5.2</v>
      </c>
      <c r="V75" s="147">
        <v>5</v>
      </c>
      <c r="W75" s="147">
        <v>2000</v>
      </c>
      <c r="X75" s="147">
        <v>1900</v>
      </c>
      <c r="Y75" s="147">
        <v>1800</v>
      </c>
      <c r="Z75" s="147">
        <v>1700</v>
      </c>
      <c r="AA75" s="147">
        <v>1500</v>
      </c>
      <c r="AB75" s="147">
        <v>1400</v>
      </c>
      <c r="AC75" s="147">
        <v>1350</v>
      </c>
      <c r="AD75" s="147">
        <v>1300</v>
      </c>
      <c r="AE75" s="147">
        <v>1250</v>
      </c>
      <c r="AI75" s="150" t="s">
        <v>2535</v>
      </c>
      <c r="AJ75" s="148">
        <v>9</v>
      </c>
      <c r="AK75" s="148">
        <v>8.5</v>
      </c>
      <c r="AL75" s="148">
        <v>8</v>
      </c>
      <c r="AM75" s="148">
        <v>7.5</v>
      </c>
      <c r="AN75" s="148">
        <v>7</v>
      </c>
      <c r="AP75" s="144" t="s">
        <v>2443</v>
      </c>
      <c r="AQ75" s="141">
        <v>1.47</v>
      </c>
      <c r="AR75" s="141">
        <v>1.47</v>
      </c>
      <c r="AS75" s="141">
        <v>1.47</v>
      </c>
      <c r="AT75" s="141">
        <v>1.47</v>
      </c>
      <c r="AU75" s="141">
        <v>1.47</v>
      </c>
      <c r="AV75" s="141">
        <v>1.47</v>
      </c>
      <c r="AW75" s="141">
        <v>1.47</v>
      </c>
      <c r="AX75" s="126" t="s">
        <v>2584</v>
      </c>
    </row>
    <row r="76" spans="1:50" ht="21">
      <c r="A76" s="150" t="str">
        <f>IF(Главная!$P$9="Дол.",AX76,IF(Главная!$P$9="гривен.",AP76,IF(Главная!$P$9="рублей.",AI76,AP76)))</f>
        <v>Гайворон</v>
      </c>
      <c r="B76" s="150">
        <v>6307469</v>
      </c>
      <c r="C76" s="151" t="s">
        <v>2513</v>
      </c>
      <c r="D76" s="147"/>
      <c r="E76" s="147">
        <v>300</v>
      </c>
      <c r="F76" s="147">
        <v>400</v>
      </c>
      <c r="G76" s="147">
        <v>420</v>
      </c>
      <c r="H76" s="147">
        <v>430</v>
      </c>
      <c r="I76" s="147">
        <v>440</v>
      </c>
      <c r="J76" s="147">
        <v>11</v>
      </c>
      <c r="K76" s="162">
        <f>IF(Главная!$P$9="Дол.",AY76,IF(Главная!$P$9="гривен.",AQ76,IF(Главная!$P$9="рублей.",AJ76,AQ76)))</f>
        <v>2.12</v>
      </c>
      <c r="L76" s="162">
        <f>IF(Главная!$P$9="Дол.",AZ76,IF(Главная!$P$9="гривен.",AR76,IF(Главная!$P$9="рублей.",AK76,AR76)))</f>
        <v>2.12</v>
      </c>
      <c r="M76" s="162">
        <f>IF(Главная!$P$9="Дол.",BA76,IF(Главная!$P$9="гривен.",AS76,IF(Главная!$P$9="рублей.",AL76,AS76)))</f>
        <v>2.12</v>
      </c>
      <c r="N76" s="162">
        <f>IF(Главная!$P$9="Дол.",BB76,IF(Главная!$P$9="гривен.",AT76,IF(Главная!$P$9="рублей.",AM76,AT76)))</f>
        <v>2.12</v>
      </c>
      <c r="O76" s="162">
        <f>IF(Главная!$P$9="Дол.",BC76,IF(Главная!$P$9="гривен.",AU76,IF(Главная!$P$9="рублей.",AN76,AU76)))</f>
        <v>2.12</v>
      </c>
      <c r="P76" s="148">
        <v>10.4</v>
      </c>
      <c r="Q76" s="148">
        <v>10.3</v>
      </c>
      <c r="R76" s="148">
        <v>10.199999999999999</v>
      </c>
      <c r="S76" s="148">
        <v>10.1</v>
      </c>
      <c r="T76" s="148">
        <v>10</v>
      </c>
      <c r="U76" s="147">
        <v>9.9</v>
      </c>
      <c r="V76" s="147">
        <v>9.8000000000000007</v>
      </c>
      <c r="W76" s="147">
        <v>3000</v>
      </c>
      <c r="X76" s="147">
        <v>2900</v>
      </c>
      <c r="Y76" s="147">
        <v>2800</v>
      </c>
      <c r="Z76" s="147">
        <v>2750</v>
      </c>
      <c r="AA76" s="147">
        <v>2700</v>
      </c>
      <c r="AB76" s="147">
        <v>2650</v>
      </c>
      <c r="AC76" s="147">
        <v>2600</v>
      </c>
      <c r="AD76" s="147">
        <v>2550</v>
      </c>
      <c r="AE76" s="147">
        <v>2500</v>
      </c>
      <c r="AI76" s="150" t="s">
        <v>2534</v>
      </c>
      <c r="AJ76" s="148">
        <v>10.9</v>
      </c>
      <c r="AK76" s="148">
        <v>10.8</v>
      </c>
      <c r="AL76" s="148">
        <v>10.7</v>
      </c>
      <c r="AM76" s="148">
        <v>10.6</v>
      </c>
      <c r="AN76" s="148">
        <v>10.5</v>
      </c>
      <c r="AP76" s="144" t="s">
        <v>2442</v>
      </c>
      <c r="AQ76" s="141">
        <v>2.12</v>
      </c>
      <c r="AR76" s="141">
        <v>2.12</v>
      </c>
      <c r="AS76" s="141">
        <v>2.12</v>
      </c>
      <c r="AT76" s="141">
        <v>2.12</v>
      </c>
      <c r="AU76" s="141">
        <v>2.12</v>
      </c>
      <c r="AV76" s="141">
        <v>2.12</v>
      </c>
      <c r="AW76" s="141">
        <v>2.12</v>
      </c>
      <c r="AX76" s="126" t="s">
        <v>2585</v>
      </c>
    </row>
    <row r="77" spans="1:50" ht="21">
      <c r="A77" s="150" t="str">
        <f>IF(Главная!$P$9="Дол.",AX77,IF(Главная!$P$9="гривен.",AP77,IF(Главная!$P$9="рублей.",AI77,AP77)))</f>
        <v>Гайсин</v>
      </c>
      <c r="B77" s="150">
        <v>6309451</v>
      </c>
      <c r="C77" s="151" t="s">
        <v>2513</v>
      </c>
      <c r="D77" s="147"/>
      <c r="E77" s="147">
        <v>290</v>
      </c>
      <c r="F77" s="147">
        <v>300</v>
      </c>
      <c r="G77" s="147">
        <v>310</v>
      </c>
      <c r="H77" s="147">
        <v>320</v>
      </c>
      <c r="I77" s="147">
        <v>330</v>
      </c>
      <c r="J77" s="147">
        <v>8.1999999999999993</v>
      </c>
      <c r="K77" s="162">
        <f>IF(Главная!$P$9="Дол.",AY77,IF(Главная!$P$9="гривен.",AQ77,IF(Главная!$P$9="рублей.",AJ77,AQ77)))</f>
        <v>2.59</v>
      </c>
      <c r="L77" s="162">
        <f>IF(Главная!$P$9="Дол.",AZ77,IF(Главная!$P$9="гривен.",AR77,IF(Главная!$P$9="рублей.",AK77,AR77)))</f>
        <v>2.59</v>
      </c>
      <c r="M77" s="162">
        <f>IF(Главная!$P$9="Дол.",BA77,IF(Главная!$P$9="гривен.",AS77,IF(Главная!$P$9="рублей.",AL77,AS77)))</f>
        <v>2.59</v>
      </c>
      <c r="N77" s="162">
        <f>IF(Главная!$P$9="Дол.",BB77,IF(Главная!$P$9="гривен.",AT77,IF(Главная!$P$9="рублей.",AM77,AT77)))</f>
        <v>2.59</v>
      </c>
      <c r="O77" s="162">
        <f>IF(Главная!$P$9="Дол.",BC77,IF(Главная!$P$9="гривен.",AU77,IF(Главная!$P$9="рублей.",AN77,AU77)))</f>
        <v>2.59</v>
      </c>
      <c r="P77" s="148">
        <v>3.3</v>
      </c>
      <c r="Q77" s="148">
        <v>3</v>
      </c>
      <c r="R77" s="148">
        <v>2.6</v>
      </c>
      <c r="S77" s="148">
        <v>2.4</v>
      </c>
      <c r="T77" s="148">
        <v>2.2000000000000002</v>
      </c>
      <c r="U77" s="147">
        <v>2.1</v>
      </c>
      <c r="V77" s="147">
        <v>2</v>
      </c>
      <c r="W77" s="147">
        <v>1200</v>
      </c>
      <c r="X77" s="147">
        <v>1100</v>
      </c>
      <c r="Y77" s="147">
        <v>900</v>
      </c>
      <c r="Z77" s="147">
        <v>800</v>
      </c>
      <c r="AA77" s="147">
        <v>750</v>
      </c>
      <c r="AB77" s="147">
        <v>700</v>
      </c>
      <c r="AC77" s="147">
        <v>600</v>
      </c>
      <c r="AD77" s="147">
        <v>550</v>
      </c>
      <c r="AE77" s="147">
        <v>500</v>
      </c>
      <c r="AI77" s="150" t="s">
        <v>911</v>
      </c>
      <c r="AJ77" s="148">
        <v>5.4</v>
      </c>
      <c r="AK77" s="148">
        <v>4.4000000000000004</v>
      </c>
      <c r="AL77" s="148">
        <v>4</v>
      </c>
      <c r="AM77" s="148">
        <v>3.8</v>
      </c>
      <c r="AN77" s="148">
        <v>3.6</v>
      </c>
      <c r="AP77" s="144" t="s">
        <v>2441</v>
      </c>
      <c r="AQ77" s="141">
        <v>2.59</v>
      </c>
      <c r="AR77" s="141">
        <v>2.59</v>
      </c>
      <c r="AS77" s="141">
        <v>2.59</v>
      </c>
      <c r="AT77" s="141">
        <v>2.59</v>
      </c>
      <c r="AU77" s="141">
        <v>2.59</v>
      </c>
      <c r="AV77" s="141">
        <v>2.59</v>
      </c>
      <c r="AW77" s="141">
        <v>2.59</v>
      </c>
      <c r="AX77" s="126" t="s">
        <v>2586</v>
      </c>
    </row>
    <row r="78" spans="1:50" ht="14.5">
      <c r="A78" s="150" t="str">
        <f>IF(Главная!$P$9="Дол.",AX78,IF(Главная!$P$9="гривен.",AP78,IF(Главная!$P$9="рублей.",AI78,AP78)))</f>
        <v>Геническ</v>
      </c>
      <c r="B78" s="150">
        <v>6309904</v>
      </c>
      <c r="C78" s="149"/>
      <c r="D78" s="147"/>
      <c r="E78" s="147">
        <v>300</v>
      </c>
      <c r="F78" s="147">
        <v>400</v>
      </c>
      <c r="G78" s="147">
        <v>460</v>
      </c>
      <c r="H78" s="147">
        <v>470</v>
      </c>
      <c r="I78" s="147">
        <v>480</v>
      </c>
      <c r="J78" s="147">
        <v>12</v>
      </c>
      <c r="K78" s="162">
        <f>IF(Главная!$P$9="Дол.",AY78,IF(Главная!$P$9="гривен.",AQ78,IF(Главная!$P$9="рублей.",AJ78,AQ78)))</f>
        <v>2.12</v>
      </c>
      <c r="L78" s="162">
        <f>IF(Главная!$P$9="Дол.",AZ78,IF(Главная!$P$9="гривен.",AR78,IF(Главная!$P$9="рублей.",AK78,AR78)))</f>
        <v>2.12</v>
      </c>
      <c r="M78" s="162">
        <f>IF(Главная!$P$9="Дол.",BA78,IF(Главная!$P$9="гривен.",AS78,IF(Главная!$P$9="рублей.",AL78,AS78)))</f>
        <v>2.12</v>
      </c>
      <c r="N78" s="162">
        <f>IF(Главная!$P$9="Дол.",BB78,IF(Главная!$P$9="гривен.",AT78,IF(Главная!$P$9="рублей.",AM78,AT78)))</f>
        <v>2.12</v>
      </c>
      <c r="O78" s="162">
        <f>IF(Главная!$P$9="Дол.",BC78,IF(Главная!$P$9="гривен.",AU78,IF(Главная!$P$9="рублей.",AN78,AU78)))</f>
        <v>2.12</v>
      </c>
      <c r="P78" s="148">
        <v>11.5</v>
      </c>
      <c r="Q78" s="148">
        <v>11.4</v>
      </c>
      <c r="R78" s="148">
        <v>11.2</v>
      </c>
      <c r="S78" s="148">
        <v>11</v>
      </c>
      <c r="T78" s="148">
        <v>10.8</v>
      </c>
      <c r="U78" s="147">
        <v>10.6</v>
      </c>
      <c r="V78" s="147">
        <v>10.4</v>
      </c>
      <c r="W78" s="147">
        <v>2600</v>
      </c>
      <c r="X78" s="147">
        <v>2550</v>
      </c>
      <c r="Y78" s="147">
        <v>2500</v>
      </c>
      <c r="Z78" s="147">
        <v>2450</v>
      </c>
      <c r="AA78" s="147">
        <v>2400</v>
      </c>
      <c r="AB78" s="147">
        <v>2350</v>
      </c>
      <c r="AC78" s="147">
        <v>2300</v>
      </c>
      <c r="AD78" s="147">
        <v>2300</v>
      </c>
      <c r="AE78" s="147">
        <v>2300</v>
      </c>
      <c r="AI78" s="150" t="s">
        <v>2533</v>
      </c>
      <c r="AJ78" s="148">
        <v>12</v>
      </c>
      <c r="AK78" s="148">
        <v>11.9</v>
      </c>
      <c r="AL78" s="148">
        <v>11.8</v>
      </c>
      <c r="AM78" s="148">
        <v>11.7</v>
      </c>
      <c r="AN78" s="148">
        <v>11.6</v>
      </c>
      <c r="AP78" s="144" t="s">
        <v>2440</v>
      </c>
      <c r="AQ78" s="141">
        <v>2.12</v>
      </c>
      <c r="AR78" s="141">
        <v>2.12</v>
      </c>
      <c r="AS78" s="141">
        <v>2.12</v>
      </c>
      <c r="AT78" s="141">
        <v>2.12</v>
      </c>
      <c r="AU78" s="141">
        <v>2.12</v>
      </c>
      <c r="AV78" s="141">
        <v>2.12</v>
      </c>
      <c r="AW78" s="141">
        <v>2.12</v>
      </c>
      <c r="AX78" s="126" t="s">
        <v>2587</v>
      </c>
    </row>
    <row r="79" spans="1:50" ht="14.5">
      <c r="A79" s="150" t="str">
        <f>IF(Главная!$P$9="Дол.",AX79,IF(Главная!$P$9="гривен.",AP79,IF(Главная!$P$9="рублей.",AI79,AP79)))</f>
        <v>Глухов</v>
      </c>
      <c r="B79" s="150">
        <v>6309820</v>
      </c>
      <c r="C79" s="149"/>
      <c r="D79" s="147"/>
      <c r="E79" s="147">
        <v>300</v>
      </c>
      <c r="F79" s="147">
        <v>330</v>
      </c>
      <c r="G79" s="147">
        <v>340</v>
      </c>
      <c r="H79" s="147">
        <v>350</v>
      </c>
      <c r="I79" s="147">
        <v>360</v>
      </c>
      <c r="J79" s="147">
        <v>9</v>
      </c>
      <c r="K79" s="162">
        <f>IF(Главная!$P$9="Дол.",AY79,IF(Главная!$P$9="гривен.",AQ79,IF(Главная!$P$9="рублей.",AJ79,AQ79)))</f>
        <v>1.21</v>
      </c>
      <c r="L79" s="162">
        <f>IF(Главная!$P$9="Дол.",AZ79,IF(Главная!$P$9="гривен.",AR79,IF(Главная!$P$9="рублей.",AK79,AR79)))</f>
        <v>1.21</v>
      </c>
      <c r="M79" s="162">
        <f>IF(Главная!$P$9="Дол.",BA79,IF(Главная!$P$9="гривен.",AS79,IF(Главная!$P$9="рублей.",AL79,AS79)))</f>
        <v>1.21</v>
      </c>
      <c r="N79" s="162">
        <f>IF(Главная!$P$9="Дол.",BB79,IF(Главная!$P$9="гривен.",AT79,IF(Главная!$P$9="рублей.",AM79,AT79)))</f>
        <v>1.21</v>
      </c>
      <c r="O79" s="162">
        <f>IF(Главная!$P$9="Дол.",BC79,IF(Главная!$P$9="гривен.",AU79,IF(Главная!$P$9="рублей.",AN79,AU79)))</f>
        <v>1.21</v>
      </c>
      <c r="P79" s="148">
        <v>6</v>
      </c>
      <c r="Q79" s="148">
        <v>5.8</v>
      </c>
      <c r="R79" s="148">
        <v>5.5</v>
      </c>
      <c r="S79" s="148">
        <v>5.3</v>
      </c>
      <c r="T79" s="148">
        <v>5.2</v>
      </c>
      <c r="U79" s="147">
        <v>5.0999999999999996</v>
      </c>
      <c r="V79" s="147">
        <v>5</v>
      </c>
      <c r="W79" s="147">
        <v>2000</v>
      </c>
      <c r="X79" s="147">
        <v>1900</v>
      </c>
      <c r="Y79" s="147">
        <v>1800</v>
      </c>
      <c r="Z79" s="147">
        <v>1600</v>
      </c>
      <c r="AA79" s="147">
        <v>1400</v>
      </c>
      <c r="AB79" s="147">
        <v>1300</v>
      </c>
      <c r="AC79" s="147">
        <v>1270</v>
      </c>
      <c r="AD79" s="147">
        <v>1260</v>
      </c>
      <c r="AE79" s="147">
        <v>1250</v>
      </c>
      <c r="AI79" s="150" t="s">
        <v>2532</v>
      </c>
      <c r="AJ79" s="148">
        <v>9</v>
      </c>
      <c r="AK79" s="148">
        <v>8</v>
      </c>
      <c r="AL79" s="148">
        <v>7.5</v>
      </c>
      <c r="AM79" s="148">
        <v>7</v>
      </c>
      <c r="AN79" s="148">
        <v>6.5</v>
      </c>
      <c r="AP79" s="144" t="s">
        <v>2439</v>
      </c>
      <c r="AQ79" s="141">
        <v>1.21</v>
      </c>
      <c r="AR79" s="141">
        <v>1.21</v>
      </c>
      <c r="AS79" s="141">
        <v>1.21</v>
      </c>
      <c r="AT79" s="141">
        <v>1.21</v>
      </c>
      <c r="AU79" s="141">
        <v>1.21</v>
      </c>
      <c r="AV79" s="141">
        <v>1.21</v>
      </c>
      <c r="AW79" s="141">
        <v>1.21</v>
      </c>
      <c r="AX79" s="126" t="s">
        <v>2588</v>
      </c>
    </row>
    <row r="80" spans="1:50" ht="14.5">
      <c r="A80" s="150" t="str">
        <f>IF(Главная!$P$9="Дол.",AX80,IF(Главная!$P$9="гривен.",AP80,IF(Главная!$P$9="рублей.",AI80,AP80)))</f>
        <v>Голая Пристань</v>
      </c>
      <c r="B80" s="150">
        <v>6309477</v>
      </c>
      <c r="C80" s="149"/>
      <c r="D80" s="147"/>
      <c r="E80" s="147">
        <v>290</v>
      </c>
      <c r="F80" s="147">
        <v>300</v>
      </c>
      <c r="G80" s="147">
        <v>310</v>
      </c>
      <c r="H80" s="147">
        <v>320</v>
      </c>
      <c r="I80" s="147">
        <v>330</v>
      </c>
      <c r="J80" s="147">
        <v>8.1999999999999993</v>
      </c>
      <c r="K80" s="162">
        <f>IF(Главная!$P$9="Дол.",AY80,IF(Главная!$P$9="гривен.",AQ80,IF(Главная!$P$9="рублей.",AJ80,AQ80)))</f>
        <v>1.86</v>
      </c>
      <c r="L80" s="162">
        <f>IF(Главная!$P$9="Дол.",AZ80,IF(Главная!$P$9="гривен.",AR80,IF(Главная!$P$9="рублей.",AK80,AR80)))</f>
        <v>1.86</v>
      </c>
      <c r="M80" s="162">
        <f>IF(Главная!$P$9="Дол.",BA80,IF(Главная!$P$9="гривен.",AS80,IF(Главная!$P$9="рублей.",AL80,AS80)))</f>
        <v>1.86</v>
      </c>
      <c r="N80" s="162">
        <f>IF(Главная!$P$9="Дол.",BB80,IF(Главная!$P$9="гривен.",AT80,IF(Главная!$P$9="рублей.",AM80,AT80)))</f>
        <v>1.86</v>
      </c>
      <c r="O80" s="162">
        <f>IF(Главная!$P$9="Дол.",BC80,IF(Главная!$P$9="гривен.",AU80,IF(Главная!$P$9="рублей.",AN80,AU80)))</f>
        <v>1.86</v>
      </c>
      <c r="P80" s="148">
        <v>5.2</v>
      </c>
      <c r="Q80" s="148">
        <v>4.5999999999999996</v>
      </c>
      <c r="R80" s="148">
        <v>4.2</v>
      </c>
      <c r="S80" s="148">
        <v>4</v>
      </c>
      <c r="T80" s="148">
        <v>3.6</v>
      </c>
      <c r="U80" s="147">
        <v>3.4</v>
      </c>
      <c r="V80" s="147">
        <v>3</v>
      </c>
      <c r="W80" s="147">
        <v>1400</v>
      </c>
      <c r="X80" s="147">
        <v>1300</v>
      </c>
      <c r="Y80" s="147">
        <v>1200</v>
      </c>
      <c r="Z80" s="147">
        <v>1100</v>
      </c>
      <c r="AA80" s="147">
        <v>1000</v>
      </c>
      <c r="AB80" s="147">
        <v>900</v>
      </c>
      <c r="AC80" s="147">
        <v>800</v>
      </c>
      <c r="AD80" s="147">
        <v>750</v>
      </c>
      <c r="AE80" s="147">
        <v>700</v>
      </c>
      <c r="AI80" s="150" t="s">
        <v>851</v>
      </c>
      <c r="AJ80" s="148">
        <v>6</v>
      </c>
      <c r="AK80" s="148">
        <v>5.8</v>
      </c>
      <c r="AL80" s="148">
        <v>5.6</v>
      </c>
      <c r="AM80" s="148">
        <v>5.4</v>
      </c>
      <c r="AN80" s="148">
        <v>5.3</v>
      </c>
      <c r="AP80" s="144" t="s">
        <v>2438</v>
      </c>
      <c r="AQ80" s="141">
        <v>1.86</v>
      </c>
      <c r="AR80" s="141">
        <v>1.86</v>
      </c>
      <c r="AS80" s="141">
        <v>1.86</v>
      </c>
      <c r="AT80" s="141">
        <v>1.86</v>
      </c>
      <c r="AU80" s="141">
        <v>1.86</v>
      </c>
      <c r="AV80" s="141">
        <v>1.86</v>
      </c>
      <c r="AW80" s="141">
        <v>1.86</v>
      </c>
      <c r="AX80" s="126" t="s">
        <v>2589</v>
      </c>
    </row>
    <row r="81" spans="1:50" ht="14.5">
      <c r="A81" s="150" t="str">
        <f>IF(Главная!$P$9="Дол.",AX81,IF(Главная!$P$9="гривен.",AP81,IF(Главная!$P$9="рублей.",AI81,AP81)))</f>
        <v>Голованевск</v>
      </c>
      <c r="B81" s="150">
        <v>6309483</v>
      </c>
      <c r="C81" s="149"/>
      <c r="D81" s="147"/>
      <c r="E81" s="147">
        <v>300</v>
      </c>
      <c r="F81" s="147">
        <v>400</v>
      </c>
      <c r="G81" s="147">
        <v>420</v>
      </c>
      <c r="H81" s="147">
        <v>430</v>
      </c>
      <c r="I81" s="147">
        <v>440</v>
      </c>
      <c r="J81" s="147">
        <v>11</v>
      </c>
      <c r="K81" s="162">
        <f>IF(Главная!$P$9="Дол.",AY81,IF(Главная!$P$9="гривен.",AQ81,IF(Главная!$P$9="рублей.",AJ81,AQ81)))</f>
        <v>2.12</v>
      </c>
      <c r="L81" s="162">
        <f>IF(Главная!$P$9="Дол.",AZ81,IF(Главная!$P$9="гривен.",AR81,IF(Главная!$P$9="рублей.",AK81,AR81)))</f>
        <v>2.12</v>
      </c>
      <c r="M81" s="162">
        <f>IF(Главная!$P$9="Дол.",BA81,IF(Главная!$P$9="гривен.",AS81,IF(Главная!$P$9="рублей.",AL81,AS81)))</f>
        <v>2.12</v>
      </c>
      <c r="N81" s="162">
        <f>IF(Главная!$P$9="Дол.",BB81,IF(Главная!$P$9="гривен.",AT81,IF(Главная!$P$9="рублей.",AM81,AT81)))</f>
        <v>2.12</v>
      </c>
      <c r="O81" s="162">
        <f>IF(Главная!$P$9="Дол.",BC81,IF(Главная!$P$9="гривен.",AU81,IF(Главная!$P$9="рублей.",AN81,AU81)))</f>
        <v>2.12</v>
      </c>
      <c r="P81" s="148">
        <v>8.8000000000000007</v>
      </c>
      <c r="Q81" s="148">
        <v>8.6</v>
      </c>
      <c r="R81" s="148">
        <v>8.4</v>
      </c>
      <c r="S81" s="148">
        <v>8.1999999999999993</v>
      </c>
      <c r="T81" s="148">
        <v>8</v>
      </c>
      <c r="U81" s="147">
        <v>7.8</v>
      </c>
      <c r="V81" s="147">
        <v>7.6</v>
      </c>
      <c r="W81" s="147">
        <v>2500</v>
      </c>
      <c r="X81" s="147">
        <v>2400</v>
      </c>
      <c r="Y81" s="147">
        <v>2300</v>
      </c>
      <c r="Z81" s="147">
        <v>2200</v>
      </c>
      <c r="AA81" s="147">
        <v>2100</v>
      </c>
      <c r="AB81" s="147">
        <v>2000</v>
      </c>
      <c r="AC81" s="147">
        <v>1900</v>
      </c>
      <c r="AD81" s="147">
        <v>1880</v>
      </c>
      <c r="AE81" s="147">
        <v>1850</v>
      </c>
      <c r="AI81" s="150" t="s">
        <v>834</v>
      </c>
      <c r="AJ81" s="148">
        <v>11</v>
      </c>
      <c r="AK81" s="148">
        <v>10.5</v>
      </c>
      <c r="AL81" s="148">
        <v>10</v>
      </c>
      <c r="AM81" s="148">
        <v>9.5</v>
      </c>
      <c r="AN81" s="148">
        <v>9</v>
      </c>
      <c r="AP81" s="144" t="s">
        <v>2437</v>
      </c>
      <c r="AQ81" s="141">
        <v>2.12</v>
      </c>
      <c r="AR81" s="141">
        <v>2.12</v>
      </c>
      <c r="AS81" s="141">
        <v>2.12</v>
      </c>
      <c r="AT81" s="141">
        <v>2.12</v>
      </c>
      <c r="AU81" s="141">
        <v>2.12</v>
      </c>
      <c r="AV81" s="141">
        <v>2.12</v>
      </c>
      <c r="AW81" s="141">
        <v>2.12</v>
      </c>
      <c r="AX81" s="126" t="s">
        <v>2590</v>
      </c>
    </row>
    <row r="82" spans="1:50" ht="14.5">
      <c r="A82" s="150" t="str">
        <f>IF(Главная!$P$9="Дол.",AX82,IF(Главная!$P$9="гривен.",AP82,IF(Главная!$P$9="рублей.",AI82,AP82)))</f>
        <v>Горловка</v>
      </c>
      <c r="B82" s="150">
        <v>6309486</v>
      </c>
      <c r="C82" s="151" t="s">
        <v>2513</v>
      </c>
      <c r="D82" s="147"/>
      <c r="E82" s="147">
        <v>300</v>
      </c>
      <c r="F82" s="147">
        <v>400</v>
      </c>
      <c r="G82" s="147">
        <v>420</v>
      </c>
      <c r="H82" s="147">
        <v>430</v>
      </c>
      <c r="I82" s="147">
        <v>440</v>
      </c>
      <c r="J82" s="147">
        <v>11</v>
      </c>
      <c r="K82" s="162">
        <f>IF(Главная!$P$9="Дол.",AY82,IF(Главная!$P$9="гривен.",AQ82,IF(Главная!$P$9="рублей.",AJ82,AQ82)))</f>
        <v>2.23</v>
      </c>
      <c r="L82" s="162">
        <f>IF(Главная!$P$9="Дол.",AZ82,IF(Главная!$P$9="гривен.",AR82,IF(Главная!$P$9="рублей.",AK82,AR82)))</f>
        <v>2.23</v>
      </c>
      <c r="M82" s="162">
        <f>IF(Главная!$P$9="Дол.",BA82,IF(Главная!$P$9="гривен.",AS82,IF(Главная!$P$9="рублей.",AL82,AS82)))</f>
        <v>2.23</v>
      </c>
      <c r="N82" s="162">
        <f>IF(Главная!$P$9="Дол.",BB82,IF(Главная!$P$9="гривен.",AT82,IF(Главная!$P$9="рублей.",AM82,AT82)))</f>
        <v>2.23</v>
      </c>
      <c r="O82" s="162">
        <f>IF(Главная!$P$9="Дол.",BC82,IF(Главная!$P$9="гривен.",AU82,IF(Главная!$P$9="рублей.",AN82,AU82)))</f>
        <v>2.23</v>
      </c>
      <c r="P82" s="148">
        <v>8.8000000000000007</v>
      </c>
      <c r="Q82" s="148">
        <v>8.6</v>
      </c>
      <c r="R82" s="148">
        <v>8.4</v>
      </c>
      <c r="S82" s="148">
        <v>8.1999999999999993</v>
      </c>
      <c r="T82" s="148">
        <v>8</v>
      </c>
      <c r="U82" s="147">
        <v>7.8</v>
      </c>
      <c r="V82" s="147">
        <v>7.6</v>
      </c>
      <c r="W82" s="147">
        <v>2500</v>
      </c>
      <c r="X82" s="147">
        <v>2400</v>
      </c>
      <c r="Y82" s="147">
        <v>2300</v>
      </c>
      <c r="Z82" s="147">
        <v>2200</v>
      </c>
      <c r="AA82" s="147">
        <v>2100</v>
      </c>
      <c r="AB82" s="147">
        <v>2000</v>
      </c>
      <c r="AC82" s="147">
        <v>1900</v>
      </c>
      <c r="AD82" s="147">
        <v>1880</v>
      </c>
      <c r="AE82" s="147">
        <v>1850</v>
      </c>
      <c r="AI82" s="150" t="s">
        <v>2531</v>
      </c>
      <c r="AJ82" s="148">
        <v>11</v>
      </c>
      <c r="AK82" s="148">
        <v>10.5</v>
      </c>
      <c r="AL82" s="148">
        <v>10</v>
      </c>
      <c r="AM82" s="148">
        <v>9.5</v>
      </c>
      <c r="AN82" s="148">
        <v>9</v>
      </c>
      <c r="AP82" s="144" t="s">
        <v>2436</v>
      </c>
      <c r="AQ82" s="141">
        <v>2.23</v>
      </c>
      <c r="AR82" s="141">
        <v>2.23</v>
      </c>
      <c r="AS82" s="141">
        <v>2.23</v>
      </c>
      <c r="AT82" s="141">
        <v>2.23</v>
      </c>
      <c r="AU82" s="141">
        <v>2.23</v>
      </c>
      <c r="AV82" s="141">
        <v>2.23</v>
      </c>
      <c r="AW82" s="141">
        <v>2.23</v>
      </c>
      <c r="AX82" s="126" t="s">
        <v>2583</v>
      </c>
    </row>
    <row r="83" spans="1:50" ht="14.5">
      <c r="A83" s="150" t="str">
        <f>IF(Главная!$P$9="Дол.",AX83,IF(Главная!$P$9="гривен.",AP83,IF(Главная!$P$9="рублей.",AI83,AP83)))</f>
        <v>Городище</v>
      </c>
      <c r="B83" s="150">
        <v>6308538</v>
      </c>
      <c r="C83" s="149"/>
      <c r="D83" s="147">
        <v>200</v>
      </c>
      <c r="E83" s="147"/>
      <c r="F83" s="147"/>
      <c r="G83" s="147"/>
      <c r="H83" s="147"/>
      <c r="I83" s="147"/>
      <c r="J83" s="147"/>
      <c r="K83" s="162">
        <f>IF(Главная!$P$9="Дол.",AY83,IF(Главная!$P$9="гривен.",AQ83,IF(Главная!$P$9="рублей.",AJ83,AQ83)))</f>
        <v>1.21</v>
      </c>
      <c r="L83" s="162">
        <f>IF(Главная!$P$9="Дол.",AZ83,IF(Главная!$P$9="гривен.",AR83,IF(Главная!$P$9="рублей.",AK83,AR83)))</f>
        <v>1.21</v>
      </c>
      <c r="M83" s="162">
        <f>IF(Главная!$P$9="Дол.",BA83,IF(Главная!$P$9="гривен.",AS83,IF(Главная!$P$9="рублей.",AL83,AS83)))</f>
        <v>1.21</v>
      </c>
      <c r="N83" s="162">
        <f>IF(Главная!$P$9="Дол.",BB83,IF(Главная!$P$9="гривен.",AT83,IF(Главная!$P$9="рублей.",AM83,AT83)))</f>
        <v>1.21</v>
      </c>
      <c r="O83" s="162">
        <f>IF(Главная!$P$9="Дол.",BC83,IF(Главная!$P$9="гривен.",AU83,IF(Главная!$P$9="рублей.",AN83,AU83)))</f>
        <v>1.21</v>
      </c>
      <c r="P83" s="148">
        <v>0.6</v>
      </c>
      <c r="Q83" s="148">
        <v>0.5</v>
      </c>
      <c r="R83" s="148">
        <v>0.4</v>
      </c>
      <c r="S83" s="148">
        <v>0.4</v>
      </c>
      <c r="T83" s="148">
        <v>0.3</v>
      </c>
      <c r="U83" s="147">
        <v>0.3</v>
      </c>
      <c r="V83" s="147">
        <v>0.3</v>
      </c>
      <c r="W83" s="147"/>
      <c r="X83" s="147">
        <v>210</v>
      </c>
      <c r="Y83" s="147">
        <v>190</v>
      </c>
      <c r="Z83" s="147">
        <v>150</v>
      </c>
      <c r="AA83" s="147">
        <v>140</v>
      </c>
      <c r="AB83" s="147">
        <v>120</v>
      </c>
      <c r="AC83" s="147">
        <v>100</v>
      </c>
      <c r="AD83" s="147">
        <v>80</v>
      </c>
      <c r="AE83" s="147">
        <v>70</v>
      </c>
      <c r="AI83" s="150" t="s">
        <v>2530</v>
      </c>
      <c r="AJ83" s="148"/>
      <c r="AK83" s="148">
        <v>1.4</v>
      </c>
      <c r="AL83" s="148">
        <v>1</v>
      </c>
      <c r="AM83" s="148">
        <v>0.9</v>
      </c>
      <c r="AN83" s="148">
        <v>0.8</v>
      </c>
      <c r="AP83" s="144" t="s">
        <v>2435</v>
      </c>
      <c r="AQ83" s="141">
        <v>1.21</v>
      </c>
      <c r="AR83" s="141">
        <v>1.21</v>
      </c>
      <c r="AS83" s="141">
        <v>1.21</v>
      </c>
      <c r="AT83" s="141">
        <v>1.21</v>
      </c>
      <c r="AU83" s="141">
        <v>1.21</v>
      </c>
      <c r="AV83" s="141">
        <v>1.21</v>
      </c>
      <c r="AW83" s="141">
        <v>1.21</v>
      </c>
      <c r="AX83" s="126" t="s">
        <v>2584</v>
      </c>
    </row>
    <row r="84" spans="1:50" ht="14.5">
      <c r="A84" s="150" t="str">
        <f>IF(Главная!$P$9="Дол.",AX84,IF(Главная!$P$9="гривен.",AP84,IF(Главная!$P$9="рублей.",AI84,AP84)))</f>
        <v>Горохов</v>
      </c>
      <c r="B84" s="150">
        <v>6489592</v>
      </c>
      <c r="C84" s="149"/>
      <c r="D84" s="147"/>
      <c r="E84" s="147">
        <v>600</v>
      </c>
      <c r="F84" s="147">
        <v>800</v>
      </c>
      <c r="G84" s="147">
        <v>960</v>
      </c>
      <c r="H84" s="147">
        <v>970</v>
      </c>
      <c r="I84" s="147">
        <v>980</v>
      </c>
      <c r="J84" s="147">
        <v>24.4</v>
      </c>
      <c r="K84" s="162">
        <f>IF(Главная!$P$9="Дол.",AY84,IF(Главная!$P$9="гривен.",AQ84,IF(Главная!$P$9="рублей.",AJ84,AQ84)))</f>
        <v>2.12</v>
      </c>
      <c r="L84" s="162">
        <f>IF(Главная!$P$9="Дол.",AZ84,IF(Главная!$P$9="гривен.",AR84,IF(Главная!$P$9="рублей.",AK84,AR84)))</f>
        <v>2.12</v>
      </c>
      <c r="M84" s="162">
        <f>IF(Главная!$P$9="Дол.",BA84,IF(Главная!$P$9="гривен.",AS84,IF(Главная!$P$9="рублей.",AL84,AS84)))</f>
        <v>2.12</v>
      </c>
      <c r="N84" s="162">
        <f>IF(Главная!$P$9="Дол.",BB84,IF(Главная!$P$9="гривен.",AT84,IF(Главная!$P$9="рублей.",AM84,AT84)))</f>
        <v>2.12</v>
      </c>
      <c r="O84" s="162">
        <f>IF(Главная!$P$9="Дол.",BC84,IF(Главная!$P$9="гривен.",AU84,IF(Главная!$P$9="рублей.",AN84,AU84)))</f>
        <v>2.12</v>
      </c>
      <c r="P84" s="148">
        <v>15.7</v>
      </c>
      <c r="Q84" s="148">
        <v>15.2</v>
      </c>
      <c r="R84" s="148">
        <v>14.6</v>
      </c>
      <c r="S84" s="148">
        <v>14.2</v>
      </c>
      <c r="T84" s="148">
        <v>13.6</v>
      </c>
      <c r="U84" s="147">
        <v>13.1</v>
      </c>
      <c r="V84" s="147">
        <v>12.5</v>
      </c>
      <c r="W84" s="147">
        <v>4250</v>
      </c>
      <c r="X84" s="147">
        <v>4150</v>
      </c>
      <c r="Y84" s="147">
        <v>3850</v>
      </c>
      <c r="Z84" s="147">
        <v>3650</v>
      </c>
      <c r="AA84" s="147">
        <v>3500</v>
      </c>
      <c r="AB84" s="147">
        <v>3350</v>
      </c>
      <c r="AC84" s="147">
        <v>3200</v>
      </c>
      <c r="AD84" s="147">
        <v>3100</v>
      </c>
      <c r="AE84" s="147">
        <v>3000</v>
      </c>
      <c r="AI84" s="150" t="s">
        <v>2529</v>
      </c>
      <c r="AJ84" s="148">
        <v>20.3</v>
      </c>
      <c r="AK84" s="148">
        <v>19</v>
      </c>
      <c r="AL84" s="148">
        <v>18.2</v>
      </c>
      <c r="AM84" s="148">
        <v>17.399999999999999</v>
      </c>
      <c r="AN84" s="148">
        <v>16.600000000000001</v>
      </c>
      <c r="AP84" s="144" t="s">
        <v>2434</v>
      </c>
      <c r="AQ84" s="141">
        <v>2.12</v>
      </c>
      <c r="AR84" s="141">
        <v>2.12</v>
      </c>
      <c r="AS84" s="141">
        <v>2.12</v>
      </c>
      <c r="AT84" s="141">
        <v>2.12</v>
      </c>
      <c r="AU84" s="141">
        <v>2.12</v>
      </c>
      <c r="AV84" s="141">
        <v>2.12</v>
      </c>
      <c r="AW84" s="141">
        <v>2.12</v>
      </c>
      <c r="AX84" s="126" t="s">
        <v>2585</v>
      </c>
    </row>
    <row r="85" spans="1:50" ht="14.5">
      <c r="A85" s="150" t="str">
        <f>IF(Главная!$P$9="Дол.",AX85,IF(Главная!$P$9="гривен.",AP85,IF(Главная!$P$9="рублей.",AI85,AP85)))</f>
        <v>Гостомель</v>
      </c>
      <c r="B85" s="150">
        <v>6309502</v>
      </c>
      <c r="C85" s="149"/>
      <c r="D85" s="147"/>
      <c r="E85" s="147">
        <v>300</v>
      </c>
      <c r="F85" s="147">
        <v>400</v>
      </c>
      <c r="G85" s="147">
        <v>410</v>
      </c>
      <c r="H85" s="147">
        <v>420</v>
      </c>
      <c r="I85" s="147">
        <v>430</v>
      </c>
      <c r="J85" s="147">
        <v>10.7</v>
      </c>
      <c r="K85" s="162">
        <f>IF(Главная!$P$9="Дол.",AY85,IF(Главная!$P$9="гривен.",AQ85,IF(Главная!$P$9="рублей.",AJ85,AQ85)))</f>
        <v>1.86</v>
      </c>
      <c r="L85" s="162">
        <f>IF(Главная!$P$9="Дол.",AZ85,IF(Главная!$P$9="гривен.",AR85,IF(Главная!$P$9="рублей.",AK85,AR85)))</f>
        <v>1.86</v>
      </c>
      <c r="M85" s="162">
        <f>IF(Главная!$P$9="Дол.",BA85,IF(Главная!$P$9="гривен.",AS85,IF(Главная!$P$9="рублей.",AL85,AS85)))</f>
        <v>1.86</v>
      </c>
      <c r="N85" s="162">
        <f>IF(Главная!$P$9="Дол.",BB85,IF(Главная!$P$9="гривен.",AT85,IF(Главная!$P$9="рублей.",AM85,AT85)))</f>
        <v>1.86</v>
      </c>
      <c r="O85" s="162">
        <f>IF(Главная!$P$9="Дол.",BC85,IF(Главная!$P$9="гривен.",AU85,IF(Главная!$P$9="рублей.",AN85,AU85)))</f>
        <v>1.86</v>
      </c>
      <c r="P85" s="148">
        <v>8.9</v>
      </c>
      <c r="Q85" s="148">
        <v>8.8000000000000007</v>
      </c>
      <c r="R85" s="148">
        <v>8.5</v>
      </c>
      <c r="S85" s="148">
        <v>8.1999999999999993</v>
      </c>
      <c r="T85" s="148">
        <v>7.7</v>
      </c>
      <c r="U85" s="147">
        <v>7.2</v>
      </c>
      <c r="V85" s="147">
        <v>7.2</v>
      </c>
      <c r="W85" s="147">
        <v>1950</v>
      </c>
      <c r="X85" s="147">
        <v>1900</v>
      </c>
      <c r="Y85" s="147">
        <v>1900</v>
      </c>
      <c r="Z85" s="147">
        <v>1880</v>
      </c>
      <c r="AA85" s="147">
        <v>1800</v>
      </c>
      <c r="AB85" s="147">
        <v>1700</v>
      </c>
      <c r="AC85" s="147">
        <v>1580</v>
      </c>
      <c r="AD85" s="147">
        <v>1500</v>
      </c>
      <c r="AE85" s="147">
        <v>1450</v>
      </c>
      <c r="AI85" s="150" t="s">
        <v>797</v>
      </c>
      <c r="AJ85" s="148">
        <v>10.7</v>
      </c>
      <c r="AK85" s="148">
        <v>10.5</v>
      </c>
      <c r="AL85" s="148">
        <v>10</v>
      </c>
      <c r="AM85" s="148">
        <v>9.5</v>
      </c>
      <c r="AN85" s="148">
        <v>9.1999999999999993</v>
      </c>
      <c r="AP85" s="144" t="s">
        <v>2433</v>
      </c>
      <c r="AQ85" s="141">
        <v>1.86</v>
      </c>
      <c r="AR85" s="141">
        <v>1.86</v>
      </c>
      <c r="AS85" s="141">
        <v>1.86</v>
      </c>
      <c r="AT85" s="141">
        <v>1.86</v>
      </c>
      <c r="AU85" s="141">
        <v>1.86</v>
      </c>
      <c r="AV85" s="141">
        <v>1.86</v>
      </c>
      <c r="AW85" s="141">
        <v>1.86</v>
      </c>
      <c r="AX85" s="126" t="s">
        <v>2586</v>
      </c>
    </row>
    <row r="86" spans="1:50" ht="14.5">
      <c r="A86" s="150" t="str">
        <f>IF(Главная!$P$9="Дол.",AX86,IF(Главная!$P$9="гривен.",AP86,IF(Главная!$P$9="рублей.",AI86,AP86)))</f>
        <v>Гуляйполе</v>
      </c>
      <c r="B86" s="150">
        <v>6309513</v>
      </c>
      <c r="C86" s="149"/>
      <c r="D86" s="147"/>
      <c r="E86" s="147">
        <v>290</v>
      </c>
      <c r="F86" s="147">
        <v>300</v>
      </c>
      <c r="G86" s="147">
        <v>310</v>
      </c>
      <c r="H86" s="147">
        <v>320</v>
      </c>
      <c r="I86" s="147">
        <v>330</v>
      </c>
      <c r="J86" s="147">
        <v>8.1999999999999993</v>
      </c>
      <c r="K86" s="162">
        <f>IF(Главная!$P$9="Дол.",AY86,IF(Главная!$P$9="гривен.",AQ86,IF(Главная!$P$9="рублей.",AJ86,AQ86)))</f>
        <v>1.86</v>
      </c>
      <c r="L86" s="162">
        <f>IF(Главная!$P$9="Дол.",AZ86,IF(Главная!$P$9="гривен.",AR86,IF(Главная!$P$9="рублей.",AK86,AR86)))</f>
        <v>1.86</v>
      </c>
      <c r="M86" s="162">
        <f>IF(Главная!$P$9="Дол.",BA86,IF(Главная!$P$9="гривен.",AS86,IF(Главная!$P$9="рублей.",AL86,AS86)))</f>
        <v>1.86</v>
      </c>
      <c r="N86" s="162">
        <f>IF(Главная!$P$9="Дол.",BB86,IF(Главная!$P$9="гривен.",AT86,IF(Главная!$P$9="рублей.",AM86,AT86)))</f>
        <v>1.86</v>
      </c>
      <c r="O86" s="162">
        <f>IF(Главная!$P$9="Дол.",BC86,IF(Главная!$P$9="гривен.",AU86,IF(Главная!$P$9="рублей.",AN86,AU86)))</f>
        <v>1.86</v>
      </c>
      <c r="P86" s="148">
        <v>5.8</v>
      </c>
      <c r="Q86" s="148">
        <v>5.7</v>
      </c>
      <c r="R86" s="148">
        <v>5.6</v>
      </c>
      <c r="S86" s="148">
        <v>5.5</v>
      </c>
      <c r="T86" s="148">
        <v>5.4</v>
      </c>
      <c r="U86" s="147">
        <v>5.3</v>
      </c>
      <c r="V86" s="147">
        <v>5.2</v>
      </c>
      <c r="W86" s="147">
        <v>1600</v>
      </c>
      <c r="X86" s="147">
        <v>1550</v>
      </c>
      <c r="Y86" s="147">
        <v>1500</v>
      </c>
      <c r="Z86" s="147">
        <v>1400</v>
      </c>
      <c r="AA86" s="147">
        <v>1350</v>
      </c>
      <c r="AB86" s="147">
        <v>1300</v>
      </c>
      <c r="AC86" s="147">
        <v>1300</v>
      </c>
      <c r="AD86" s="147">
        <v>1280</v>
      </c>
      <c r="AE86" s="147">
        <v>1250</v>
      </c>
      <c r="AI86" s="150" t="s">
        <v>791</v>
      </c>
      <c r="AJ86" s="148">
        <v>8</v>
      </c>
      <c r="AK86" s="148">
        <v>7.5</v>
      </c>
      <c r="AL86" s="148">
        <v>7</v>
      </c>
      <c r="AM86" s="148">
        <v>6.5</v>
      </c>
      <c r="AN86" s="148">
        <v>6</v>
      </c>
      <c r="AP86" s="144" t="s">
        <v>2432</v>
      </c>
      <c r="AQ86" s="141">
        <v>1.86</v>
      </c>
      <c r="AR86" s="141">
        <v>1.86</v>
      </c>
      <c r="AS86" s="141">
        <v>1.86</v>
      </c>
      <c r="AT86" s="141">
        <v>1.86</v>
      </c>
      <c r="AU86" s="141">
        <v>1.86</v>
      </c>
      <c r="AV86" s="141">
        <v>1.86</v>
      </c>
      <c r="AW86" s="141">
        <v>1.86</v>
      </c>
      <c r="AX86" s="126" t="s">
        <v>2587</v>
      </c>
    </row>
    <row r="87" spans="1:50" ht="21">
      <c r="A87" s="150" t="str">
        <f>IF(Главная!$P$9="Дол.",AX87,IF(Главная!$P$9="гривен.",AP87,IF(Главная!$P$9="рублей.",AI87,AP87)))</f>
        <v>Дебальцево</v>
      </c>
      <c r="B87" s="150">
        <v>6307337</v>
      </c>
      <c r="C87" s="151" t="s">
        <v>2513</v>
      </c>
      <c r="D87" s="147"/>
      <c r="E87" s="147">
        <v>300</v>
      </c>
      <c r="F87" s="147">
        <v>400</v>
      </c>
      <c r="G87" s="147">
        <v>500</v>
      </c>
      <c r="H87" s="147">
        <v>510</v>
      </c>
      <c r="I87" s="147">
        <v>520</v>
      </c>
      <c r="J87" s="147">
        <v>13</v>
      </c>
      <c r="K87" s="162">
        <f>IF(Главная!$P$9="Дол.",AY87,IF(Главная!$P$9="гривен.",AQ87,IF(Главная!$P$9="рублей.",AJ87,AQ87)))</f>
        <v>2.23</v>
      </c>
      <c r="L87" s="162">
        <f>IF(Главная!$P$9="Дол.",AZ87,IF(Главная!$P$9="гривен.",AR87,IF(Главная!$P$9="рублей.",AK87,AR87)))</f>
        <v>2.23</v>
      </c>
      <c r="M87" s="162">
        <f>IF(Главная!$P$9="Дол.",BA87,IF(Главная!$P$9="гривен.",AS87,IF(Главная!$P$9="рублей.",AL87,AS87)))</f>
        <v>2.23</v>
      </c>
      <c r="N87" s="162">
        <f>IF(Главная!$P$9="Дол.",BB87,IF(Главная!$P$9="гривен.",AT87,IF(Главная!$P$9="рублей.",AM87,AT87)))</f>
        <v>2.23</v>
      </c>
      <c r="O87" s="162">
        <f>IF(Главная!$P$9="Дол.",BC87,IF(Главная!$P$9="гривен.",AU87,IF(Главная!$P$9="рублей.",AN87,AU87)))</f>
        <v>2.23</v>
      </c>
      <c r="P87" s="148">
        <v>11.2</v>
      </c>
      <c r="Q87" s="148">
        <v>11</v>
      </c>
      <c r="R87" s="148">
        <v>10.5</v>
      </c>
      <c r="S87" s="148">
        <v>10.199999999999999</v>
      </c>
      <c r="T87" s="148">
        <v>10</v>
      </c>
      <c r="U87" s="147">
        <v>9.5</v>
      </c>
      <c r="V87" s="147">
        <v>9</v>
      </c>
      <c r="W87" s="147">
        <v>3100</v>
      </c>
      <c r="X87" s="147">
        <v>3000</v>
      </c>
      <c r="Y87" s="147">
        <v>2900</v>
      </c>
      <c r="Z87" s="147">
        <v>2800</v>
      </c>
      <c r="AA87" s="147">
        <v>2700</v>
      </c>
      <c r="AB87" s="147">
        <v>2600</v>
      </c>
      <c r="AC87" s="147">
        <v>2580</v>
      </c>
      <c r="AD87" s="147">
        <v>2550</v>
      </c>
      <c r="AE87" s="147">
        <v>2500</v>
      </c>
      <c r="AI87" s="150" t="s">
        <v>788</v>
      </c>
      <c r="AJ87" s="148">
        <v>13</v>
      </c>
      <c r="AK87" s="148">
        <v>12</v>
      </c>
      <c r="AL87" s="148">
        <v>11.8</v>
      </c>
      <c r="AM87" s="148">
        <v>11.6</v>
      </c>
      <c r="AN87" s="148">
        <v>11.4</v>
      </c>
      <c r="AP87" s="144" t="s">
        <v>2431</v>
      </c>
      <c r="AQ87" s="141">
        <v>2.23</v>
      </c>
      <c r="AR87" s="141">
        <v>2.23</v>
      </c>
      <c r="AS87" s="141">
        <v>2.23</v>
      </c>
      <c r="AT87" s="141">
        <v>2.23</v>
      </c>
      <c r="AU87" s="141">
        <v>2.23</v>
      </c>
      <c r="AV87" s="141">
        <v>2.23</v>
      </c>
      <c r="AW87" s="141">
        <v>2.23</v>
      </c>
      <c r="AX87" s="126" t="s">
        <v>2588</v>
      </c>
    </row>
    <row r="88" spans="1:50" ht="21">
      <c r="A88" s="150" t="str">
        <f>IF(Главная!$P$9="Дол.",AX88,IF(Главная!$P$9="гривен.",AP88,IF(Главная!$P$9="рублей.",AI88,AP88)))</f>
        <v>Джанкой</v>
      </c>
      <c r="B88" s="150">
        <v>6489594</v>
      </c>
      <c r="C88" s="149"/>
      <c r="D88" s="147"/>
      <c r="E88" s="147">
        <v>600</v>
      </c>
      <c r="F88" s="147">
        <v>800</v>
      </c>
      <c r="G88" s="147">
        <v>1000</v>
      </c>
      <c r="H88" s="147">
        <v>1080</v>
      </c>
      <c r="I88" s="147">
        <v>1090</v>
      </c>
      <c r="J88" s="147">
        <v>27.2</v>
      </c>
      <c r="K88" s="162">
        <f>IF(Главная!$P$9="Дол.",AY88,IF(Главная!$P$9="гривен.",AQ88,IF(Главная!$P$9="рублей.",AJ88,AQ88)))</f>
        <v>12</v>
      </c>
      <c r="L88" s="162">
        <f>IF(Главная!$P$9="Дол.",AZ88,IF(Главная!$P$9="гривен.",AR88,IF(Главная!$P$9="рублей.",AK88,AR88)))</f>
        <v>12</v>
      </c>
      <c r="M88" s="162">
        <f>IF(Главная!$P$9="Дол.",BA88,IF(Главная!$P$9="гривен.",AS88,IF(Главная!$P$9="рублей.",AL88,AS88)))</f>
        <v>12</v>
      </c>
      <c r="N88" s="162">
        <f>IF(Главная!$P$9="Дол.",BB88,IF(Главная!$P$9="гривен.",AT88,IF(Главная!$P$9="рублей.",AM88,AT88)))</f>
        <v>12</v>
      </c>
      <c r="O88" s="162">
        <f>IF(Главная!$P$9="Дол.",BC88,IF(Главная!$P$9="гривен.",AU88,IF(Главная!$P$9="рублей.",AN88,AU88)))</f>
        <v>12</v>
      </c>
      <c r="P88" s="148">
        <v>16.8</v>
      </c>
      <c r="Q88" s="148">
        <v>15.9</v>
      </c>
      <c r="R88" s="148">
        <v>14.9</v>
      </c>
      <c r="S88" s="148">
        <v>14.4</v>
      </c>
      <c r="T88" s="148">
        <v>13.8</v>
      </c>
      <c r="U88" s="147">
        <v>13.4</v>
      </c>
      <c r="V88" s="147">
        <v>13</v>
      </c>
      <c r="W88" s="147">
        <v>4950</v>
      </c>
      <c r="X88" s="147">
        <v>4850</v>
      </c>
      <c r="Y88" s="147">
        <v>4500</v>
      </c>
      <c r="Z88" s="147">
        <v>4250</v>
      </c>
      <c r="AA88" s="147">
        <v>4050</v>
      </c>
      <c r="AB88" s="147">
        <v>3850</v>
      </c>
      <c r="AC88" s="147">
        <v>3650</v>
      </c>
      <c r="AD88" s="147">
        <v>3500</v>
      </c>
      <c r="AE88" s="147">
        <v>3350</v>
      </c>
      <c r="AI88" s="150" t="s">
        <v>2528</v>
      </c>
      <c r="AJ88" s="148">
        <v>23.4</v>
      </c>
      <c r="AK88" s="148">
        <v>21.7</v>
      </c>
      <c r="AL88" s="148">
        <v>20.5</v>
      </c>
      <c r="AM88" s="148">
        <v>19.3</v>
      </c>
      <c r="AN88" s="148">
        <v>18.100000000000001</v>
      </c>
      <c r="AP88" s="144" t="s">
        <v>2430</v>
      </c>
      <c r="AQ88" s="141">
        <v>12</v>
      </c>
      <c r="AR88" s="141">
        <v>12</v>
      </c>
      <c r="AS88" s="141">
        <v>12</v>
      </c>
      <c r="AT88" s="141">
        <v>12</v>
      </c>
      <c r="AU88" s="141">
        <v>12</v>
      </c>
      <c r="AV88" s="141">
        <v>12</v>
      </c>
      <c r="AW88" s="141">
        <v>12</v>
      </c>
      <c r="AX88" s="126" t="s">
        <v>2589</v>
      </c>
    </row>
    <row r="89" spans="1:50" ht="21">
      <c r="A89" s="150" t="str">
        <f>IF(Главная!$P$9="Дол.",AX89,IF(Главная!$P$9="гривен.",AP89,IF(Главная!$P$9="рублей.",AI89,AP89)))</f>
        <v>Дзержинск</v>
      </c>
      <c r="B89" s="150">
        <v>6308544</v>
      </c>
      <c r="C89" s="151" t="s">
        <v>2513</v>
      </c>
      <c r="D89" s="147"/>
      <c r="E89" s="147">
        <v>290</v>
      </c>
      <c r="F89" s="147">
        <v>300</v>
      </c>
      <c r="G89" s="147">
        <v>310</v>
      </c>
      <c r="H89" s="147">
        <v>320</v>
      </c>
      <c r="I89" s="147">
        <v>330</v>
      </c>
      <c r="J89" s="147">
        <v>8.1999999999999993</v>
      </c>
      <c r="K89" s="162">
        <f>IF(Главная!$P$9="Дол.",AY89,IF(Главная!$P$9="гривен.",AQ89,IF(Главная!$P$9="рублей.",AJ89,AQ89)))</f>
        <v>2.23</v>
      </c>
      <c r="L89" s="162">
        <f>IF(Главная!$P$9="Дол.",AZ89,IF(Главная!$P$9="гривен.",AR89,IF(Главная!$P$9="рублей.",AK89,AR89)))</f>
        <v>2.23</v>
      </c>
      <c r="M89" s="162">
        <f>IF(Главная!$P$9="Дол.",BA89,IF(Главная!$P$9="гривен.",AS89,IF(Главная!$P$9="рублей.",AL89,AS89)))</f>
        <v>2.23</v>
      </c>
      <c r="N89" s="162">
        <f>IF(Главная!$P$9="Дол.",BB89,IF(Главная!$P$9="гривен.",AT89,IF(Главная!$P$9="рублей.",AM89,AT89)))</f>
        <v>2.23</v>
      </c>
      <c r="O89" s="162">
        <f>IF(Главная!$P$9="Дол.",BC89,IF(Главная!$P$9="гривен.",AU89,IF(Главная!$P$9="рублей.",AN89,AU89)))</f>
        <v>2.23</v>
      </c>
      <c r="P89" s="148">
        <v>3.1</v>
      </c>
      <c r="Q89" s="148">
        <v>2.9</v>
      </c>
      <c r="R89" s="148">
        <v>2.6</v>
      </c>
      <c r="S89" s="148">
        <v>2.4</v>
      </c>
      <c r="T89" s="148">
        <v>2.2000000000000002</v>
      </c>
      <c r="U89" s="147">
        <v>2.1</v>
      </c>
      <c r="V89" s="147">
        <v>2</v>
      </c>
      <c r="W89" s="147">
        <v>1200</v>
      </c>
      <c r="X89" s="147">
        <v>1100</v>
      </c>
      <c r="Y89" s="147">
        <v>800</v>
      </c>
      <c r="Z89" s="147">
        <v>750</v>
      </c>
      <c r="AA89" s="147">
        <v>700</v>
      </c>
      <c r="AB89" s="147">
        <v>650</v>
      </c>
      <c r="AC89" s="147">
        <v>600</v>
      </c>
      <c r="AD89" s="147">
        <v>550</v>
      </c>
      <c r="AE89" s="147">
        <v>500</v>
      </c>
      <c r="AI89" s="150" t="s">
        <v>2527</v>
      </c>
      <c r="AJ89" s="148">
        <v>5.4</v>
      </c>
      <c r="AK89" s="148">
        <v>4.4000000000000004</v>
      </c>
      <c r="AL89" s="148">
        <v>3.7</v>
      </c>
      <c r="AM89" s="148">
        <v>3.6</v>
      </c>
      <c r="AN89" s="148">
        <v>3.3</v>
      </c>
      <c r="AP89" s="144" t="s">
        <v>2429</v>
      </c>
      <c r="AQ89" s="141">
        <v>2.23</v>
      </c>
      <c r="AR89" s="141">
        <v>2.23</v>
      </c>
      <c r="AS89" s="141">
        <v>2.23</v>
      </c>
      <c r="AT89" s="141">
        <v>2.23</v>
      </c>
      <c r="AU89" s="141">
        <v>2.23</v>
      </c>
      <c r="AV89" s="141">
        <v>2.23</v>
      </c>
      <c r="AW89" s="141">
        <v>2.23</v>
      </c>
      <c r="AX89" s="126" t="s">
        <v>2590</v>
      </c>
    </row>
    <row r="90" spans="1:50" ht="14.5">
      <c r="A90" s="150" t="str">
        <f>IF(Главная!$P$9="Дол.",AX90,IF(Главная!$P$9="гривен.",AP90,IF(Главная!$P$9="рублей.",AI90,AP90)))</f>
        <v>Диканька</v>
      </c>
      <c r="B90" s="150">
        <v>6309538</v>
      </c>
      <c r="C90" s="151" t="s">
        <v>2513</v>
      </c>
      <c r="D90" s="147"/>
      <c r="E90" s="147">
        <v>300</v>
      </c>
      <c r="F90" s="147">
        <v>400</v>
      </c>
      <c r="G90" s="147">
        <v>500</v>
      </c>
      <c r="H90" s="147">
        <v>510</v>
      </c>
      <c r="I90" s="147">
        <v>520</v>
      </c>
      <c r="J90" s="147">
        <v>13</v>
      </c>
      <c r="K90" s="162">
        <f>IF(Главная!$P$9="Дол.",AY90,IF(Главная!$P$9="гривен.",AQ90,IF(Главная!$P$9="рублей.",AJ90,AQ90)))</f>
        <v>1.21</v>
      </c>
      <c r="L90" s="162">
        <f>IF(Главная!$P$9="Дол.",AZ90,IF(Главная!$P$9="гривен.",AR90,IF(Главная!$P$9="рублей.",AK90,AR90)))</f>
        <v>1.21</v>
      </c>
      <c r="M90" s="162">
        <f>IF(Главная!$P$9="Дол.",BA90,IF(Главная!$P$9="гривен.",AS90,IF(Главная!$P$9="рублей.",AL90,AS90)))</f>
        <v>1.21</v>
      </c>
      <c r="N90" s="162">
        <f>IF(Главная!$P$9="Дол.",BB90,IF(Главная!$P$9="гривен.",AT90,IF(Главная!$P$9="рублей.",AM90,AT90)))</f>
        <v>1.21</v>
      </c>
      <c r="O90" s="162">
        <f>IF(Главная!$P$9="Дол.",BC90,IF(Главная!$P$9="гривен.",AU90,IF(Главная!$P$9="рублей.",AN90,AU90)))</f>
        <v>1.21</v>
      </c>
      <c r="P90" s="148">
        <v>11.2</v>
      </c>
      <c r="Q90" s="148">
        <v>11</v>
      </c>
      <c r="R90" s="148">
        <v>10.5</v>
      </c>
      <c r="S90" s="148">
        <v>10.199999999999999</v>
      </c>
      <c r="T90" s="148">
        <v>10</v>
      </c>
      <c r="U90" s="147">
        <v>9.5</v>
      </c>
      <c r="V90" s="147">
        <v>9</v>
      </c>
      <c r="W90" s="147">
        <v>3100</v>
      </c>
      <c r="X90" s="147">
        <v>3000</v>
      </c>
      <c r="Y90" s="147">
        <v>2900</v>
      </c>
      <c r="Z90" s="147">
        <v>2800</v>
      </c>
      <c r="AA90" s="147">
        <v>2700</v>
      </c>
      <c r="AB90" s="147">
        <v>2600</v>
      </c>
      <c r="AC90" s="147">
        <v>2580</v>
      </c>
      <c r="AD90" s="147">
        <v>2550</v>
      </c>
      <c r="AE90" s="147">
        <v>2500</v>
      </c>
      <c r="AI90" s="150" t="s">
        <v>739</v>
      </c>
      <c r="AJ90" s="148">
        <v>13</v>
      </c>
      <c r="AK90" s="148">
        <v>12</v>
      </c>
      <c r="AL90" s="148">
        <v>11.8</v>
      </c>
      <c r="AM90" s="148">
        <v>11.6</v>
      </c>
      <c r="AN90" s="148">
        <v>11.4</v>
      </c>
      <c r="AP90" s="144" t="s">
        <v>2428</v>
      </c>
      <c r="AQ90" s="141">
        <v>1.21</v>
      </c>
      <c r="AR90" s="141">
        <v>1.21</v>
      </c>
      <c r="AS90" s="141">
        <v>1.21</v>
      </c>
      <c r="AT90" s="141">
        <v>1.21</v>
      </c>
      <c r="AU90" s="141">
        <v>1.21</v>
      </c>
      <c r="AV90" s="141">
        <v>1.21</v>
      </c>
      <c r="AW90" s="141">
        <v>1.21</v>
      </c>
      <c r="AX90" s="126" t="s">
        <v>2583</v>
      </c>
    </row>
    <row r="91" spans="1:50" ht="21">
      <c r="A91" s="150" t="str">
        <f>IF(Главная!$P$9="Дол.",AX91,IF(Главная!$P$9="гривен.",AP91,IF(Главная!$P$9="рублей.",AI91,AP91)))</f>
        <v>Димитров</v>
      </c>
      <c r="B91" s="150">
        <v>6309552</v>
      </c>
      <c r="C91" s="149"/>
      <c r="D91" s="147"/>
      <c r="E91" s="147">
        <v>300</v>
      </c>
      <c r="F91" s="147">
        <v>400</v>
      </c>
      <c r="G91" s="147">
        <v>460</v>
      </c>
      <c r="H91" s="147">
        <v>470</v>
      </c>
      <c r="I91" s="147">
        <v>480</v>
      </c>
      <c r="J91" s="147">
        <v>12</v>
      </c>
      <c r="K91" s="162">
        <f>IF(Главная!$P$9="Дол.",AY91,IF(Главная!$P$9="гривен.",AQ91,IF(Главная!$P$9="рублей.",AJ91,AQ91)))</f>
        <v>1.86</v>
      </c>
      <c r="L91" s="162">
        <f>IF(Главная!$P$9="Дол.",AZ91,IF(Главная!$P$9="гривен.",AR91,IF(Главная!$P$9="рублей.",AK91,AR91)))</f>
        <v>1.86</v>
      </c>
      <c r="M91" s="162">
        <f>IF(Главная!$P$9="Дол.",BA91,IF(Главная!$P$9="гривен.",AS91,IF(Главная!$P$9="рублей.",AL91,AS91)))</f>
        <v>1.86</v>
      </c>
      <c r="N91" s="162">
        <f>IF(Главная!$P$9="Дол.",BB91,IF(Главная!$P$9="гривен.",AT91,IF(Главная!$P$9="рублей.",AM91,AT91)))</f>
        <v>1.86</v>
      </c>
      <c r="O91" s="162">
        <f>IF(Главная!$P$9="Дол.",BC91,IF(Главная!$P$9="гривен.",AU91,IF(Главная!$P$9="рублей.",AN91,AU91)))</f>
        <v>1.86</v>
      </c>
      <c r="P91" s="148">
        <v>9</v>
      </c>
      <c r="Q91" s="148">
        <v>8.5</v>
      </c>
      <c r="R91" s="148">
        <v>8.4</v>
      </c>
      <c r="S91" s="148">
        <v>8.3000000000000007</v>
      </c>
      <c r="T91" s="148">
        <v>8.1999999999999993</v>
      </c>
      <c r="U91" s="147">
        <v>8.1</v>
      </c>
      <c r="V91" s="147">
        <v>8</v>
      </c>
      <c r="W91" s="147">
        <v>2500</v>
      </c>
      <c r="X91" s="147">
        <v>2400</v>
      </c>
      <c r="Y91" s="147">
        <v>2300</v>
      </c>
      <c r="Z91" s="147">
        <v>2200</v>
      </c>
      <c r="AA91" s="147">
        <v>2150</v>
      </c>
      <c r="AB91" s="147">
        <v>2100</v>
      </c>
      <c r="AC91" s="147">
        <v>2050</v>
      </c>
      <c r="AD91" s="147">
        <v>2000</v>
      </c>
      <c r="AE91" s="147">
        <v>1900</v>
      </c>
      <c r="AI91" s="150" t="s">
        <v>707</v>
      </c>
      <c r="AJ91" s="148">
        <v>11.5</v>
      </c>
      <c r="AK91" s="148">
        <v>11</v>
      </c>
      <c r="AL91" s="148">
        <v>10.5</v>
      </c>
      <c r="AM91" s="148">
        <v>10</v>
      </c>
      <c r="AN91" s="148">
        <v>9.5</v>
      </c>
      <c r="AP91" s="144" t="s">
        <v>2427</v>
      </c>
      <c r="AQ91" s="141">
        <v>1.86</v>
      </c>
      <c r="AR91" s="141">
        <v>1.86</v>
      </c>
      <c r="AS91" s="141">
        <v>1.86</v>
      </c>
      <c r="AT91" s="141">
        <v>1.86</v>
      </c>
      <c r="AU91" s="141">
        <v>1.86</v>
      </c>
      <c r="AV91" s="141">
        <v>1.86</v>
      </c>
      <c r="AW91" s="141">
        <v>1.86</v>
      </c>
      <c r="AX91" s="126" t="s">
        <v>2584</v>
      </c>
    </row>
    <row r="92" spans="1:50" ht="21">
      <c r="A92" s="150" t="str">
        <f>IF(Главная!$P$9="Дол.",AX92,IF(Главная!$P$9="гривен.",AP92,IF(Главная!$P$9="рублей.",AI92,AP92)))</f>
        <v>Днепродзержинск</v>
      </c>
      <c r="B92" s="150">
        <v>6307447</v>
      </c>
      <c r="C92" s="151" t="s">
        <v>2513</v>
      </c>
      <c r="D92" s="147"/>
      <c r="E92" s="147">
        <v>290</v>
      </c>
      <c r="F92" s="147">
        <v>300</v>
      </c>
      <c r="G92" s="147">
        <v>310</v>
      </c>
      <c r="H92" s="147">
        <v>320</v>
      </c>
      <c r="I92" s="147">
        <v>330</v>
      </c>
      <c r="J92" s="147">
        <v>8.1999999999999993</v>
      </c>
      <c r="K92" s="162">
        <f>IF(Главная!$P$9="Дол.",AY92,IF(Главная!$P$9="гривен.",AQ92,IF(Главная!$P$9="рублей.",AJ92,AQ92)))</f>
        <v>1.47</v>
      </c>
      <c r="L92" s="162">
        <f>IF(Главная!$P$9="Дол.",AZ92,IF(Главная!$P$9="гривен.",AR92,IF(Главная!$P$9="рублей.",AK92,AR92)))</f>
        <v>1.47</v>
      </c>
      <c r="M92" s="162">
        <f>IF(Главная!$P$9="Дол.",BA92,IF(Главная!$P$9="гривен.",AS92,IF(Главная!$P$9="рублей.",AL92,AS92)))</f>
        <v>1.47</v>
      </c>
      <c r="N92" s="162">
        <f>IF(Главная!$P$9="Дол.",BB92,IF(Главная!$P$9="гривен.",AT92,IF(Главная!$P$9="рублей.",AM92,AT92)))</f>
        <v>1.47</v>
      </c>
      <c r="O92" s="162">
        <f>IF(Главная!$P$9="Дол.",BC92,IF(Главная!$P$9="гривен.",AU92,IF(Главная!$P$9="рублей.",AN92,AU92)))</f>
        <v>1.47</v>
      </c>
      <c r="P92" s="148">
        <v>7</v>
      </c>
      <c r="Q92" s="148">
        <v>6.8</v>
      </c>
      <c r="R92" s="148">
        <v>6.6</v>
      </c>
      <c r="S92" s="148">
        <v>6.4</v>
      </c>
      <c r="T92" s="148">
        <v>6.2</v>
      </c>
      <c r="U92" s="147">
        <v>6.1</v>
      </c>
      <c r="V92" s="147">
        <v>6</v>
      </c>
      <c r="W92" s="147">
        <v>2000</v>
      </c>
      <c r="X92" s="147">
        <v>1900</v>
      </c>
      <c r="Y92" s="147">
        <v>1800</v>
      </c>
      <c r="Z92" s="147">
        <v>1700</v>
      </c>
      <c r="AA92" s="147">
        <v>1600</v>
      </c>
      <c r="AB92" s="147">
        <v>1500</v>
      </c>
      <c r="AC92" s="147">
        <v>1400</v>
      </c>
      <c r="AD92" s="147">
        <v>1300</v>
      </c>
      <c r="AE92" s="147">
        <v>1200</v>
      </c>
      <c r="AI92" s="150" t="s">
        <v>2609</v>
      </c>
      <c r="AJ92" s="148">
        <v>8</v>
      </c>
      <c r="AK92" s="148">
        <v>7.8</v>
      </c>
      <c r="AL92" s="148">
        <v>7.6</v>
      </c>
      <c r="AM92" s="148">
        <v>7.4</v>
      </c>
      <c r="AN92" s="148">
        <v>7.2</v>
      </c>
      <c r="AP92" s="144" t="s">
        <v>2426</v>
      </c>
      <c r="AQ92" s="141">
        <v>1.47</v>
      </c>
      <c r="AR92" s="141">
        <v>1.47</v>
      </c>
      <c r="AS92" s="141">
        <v>1.47</v>
      </c>
      <c r="AT92" s="141">
        <v>1.47</v>
      </c>
      <c r="AU92" s="141">
        <v>1.47</v>
      </c>
      <c r="AV92" s="141">
        <v>1.47</v>
      </c>
      <c r="AW92" s="141">
        <v>1.47</v>
      </c>
      <c r="AX92" s="126" t="s">
        <v>2585</v>
      </c>
    </row>
    <row r="93" spans="1:50" ht="14.5">
      <c r="A93" s="150" t="str">
        <f>IF(Главная!$P$9="Дол.",AX93,IF(Главная!$P$9="гривен.",AP93,IF(Главная!$P$9="рублей.",AI93,AP93)))</f>
        <v>Днепропетровск</v>
      </c>
      <c r="B93" s="150">
        <v>6309575</v>
      </c>
      <c r="C93" s="149"/>
      <c r="D93" s="147"/>
      <c r="E93" s="147">
        <v>290</v>
      </c>
      <c r="F93" s="147">
        <v>300</v>
      </c>
      <c r="G93" s="147">
        <v>310</v>
      </c>
      <c r="H93" s="147">
        <v>320</v>
      </c>
      <c r="I93" s="147">
        <v>330</v>
      </c>
      <c r="J93" s="147">
        <v>8.1999999999999993</v>
      </c>
      <c r="K93" s="162">
        <f>IF(Главная!$P$9="Дол.",AY93,IF(Главная!$P$9="гривен.",AQ93,IF(Главная!$P$9="рублей.",AJ93,AQ93)))</f>
        <v>1.47</v>
      </c>
      <c r="L93" s="162">
        <f>IF(Главная!$P$9="Дол.",AZ93,IF(Главная!$P$9="гривен.",AR93,IF(Главная!$P$9="рублей.",AK93,AR93)))</f>
        <v>1.47</v>
      </c>
      <c r="M93" s="162">
        <f>IF(Главная!$P$9="Дол.",BA93,IF(Главная!$P$9="гривен.",AS93,IF(Главная!$P$9="рублей.",AL93,AS93)))</f>
        <v>1.47</v>
      </c>
      <c r="N93" s="162">
        <f>IF(Главная!$P$9="Дол.",BB93,IF(Главная!$P$9="гривен.",AT93,IF(Главная!$P$9="рублей.",AM93,AT93)))</f>
        <v>1.47</v>
      </c>
      <c r="O93" s="162">
        <f>IF(Главная!$P$9="Дол.",BC93,IF(Главная!$P$9="гривен.",AU93,IF(Главная!$P$9="рублей.",AN93,AU93)))</f>
        <v>1.47</v>
      </c>
      <c r="P93" s="148">
        <v>5.8</v>
      </c>
      <c r="Q93" s="148">
        <v>5.6</v>
      </c>
      <c r="R93" s="148">
        <v>5.4</v>
      </c>
      <c r="S93" s="148">
        <v>5.2</v>
      </c>
      <c r="T93" s="148">
        <v>5</v>
      </c>
      <c r="U93" s="147">
        <v>4.8</v>
      </c>
      <c r="V93" s="147">
        <v>4.5999999999999996</v>
      </c>
      <c r="W93" s="147">
        <v>1500</v>
      </c>
      <c r="X93" s="147">
        <v>1400</v>
      </c>
      <c r="Y93" s="147">
        <v>1350</v>
      </c>
      <c r="Z93" s="147">
        <v>1300</v>
      </c>
      <c r="AA93" s="147">
        <v>1250</v>
      </c>
      <c r="AB93" s="147">
        <v>1200</v>
      </c>
      <c r="AC93" s="147">
        <v>1150</v>
      </c>
      <c r="AD93" s="147">
        <v>1100</v>
      </c>
      <c r="AE93" s="147">
        <v>1000</v>
      </c>
      <c r="AI93" s="150" t="s">
        <v>694</v>
      </c>
      <c r="AJ93" s="148">
        <v>7.5</v>
      </c>
      <c r="AK93" s="148">
        <v>7</v>
      </c>
      <c r="AL93" s="148">
        <v>6.4</v>
      </c>
      <c r="AM93" s="148">
        <v>6.2</v>
      </c>
      <c r="AN93" s="148">
        <v>6</v>
      </c>
      <c r="AP93" s="144" t="s">
        <v>2425</v>
      </c>
      <c r="AQ93" s="141">
        <v>1.47</v>
      </c>
      <c r="AR93" s="141">
        <v>1.47</v>
      </c>
      <c r="AS93" s="141">
        <v>1.47</v>
      </c>
      <c r="AT93" s="141">
        <v>1.47</v>
      </c>
      <c r="AU93" s="141">
        <v>1.47</v>
      </c>
      <c r="AV93" s="141">
        <v>1.47</v>
      </c>
      <c r="AW93" s="141">
        <v>1.47</v>
      </c>
      <c r="AX93" s="126" t="s">
        <v>2586</v>
      </c>
    </row>
    <row r="94" spans="1:50" ht="14.5">
      <c r="A94" s="150" t="str">
        <f>IF(Главная!$P$9="Дол.",AX94,IF(Главная!$P$9="гривен.",AP94,IF(Главная!$P$9="рублей.",AI94,AP94)))</f>
        <v>Днепрорудный</v>
      </c>
      <c r="B94" s="150">
        <v>6309587</v>
      </c>
      <c r="C94" s="149"/>
      <c r="D94" s="147"/>
      <c r="E94" s="147">
        <v>290</v>
      </c>
      <c r="F94" s="147">
        <v>300</v>
      </c>
      <c r="G94" s="147">
        <v>310</v>
      </c>
      <c r="H94" s="147">
        <v>320</v>
      </c>
      <c r="I94" s="147">
        <v>330</v>
      </c>
      <c r="J94" s="147">
        <v>8.1999999999999993</v>
      </c>
      <c r="K94" s="162">
        <f>IF(Главная!$P$9="Дол.",AY94,IF(Главная!$P$9="гривен.",AQ94,IF(Главная!$P$9="рублей.",AJ94,AQ94)))</f>
        <v>1.74</v>
      </c>
      <c r="L94" s="162">
        <f>IF(Главная!$P$9="Дол.",AZ94,IF(Главная!$P$9="гривен.",AR94,IF(Главная!$P$9="рублей.",AK94,AR94)))</f>
        <v>1.74</v>
      </c>
      <c r="M94" s="162">
        <f>IF(Главная!$P$9="Дол.",BA94,IF(Главная!$P$9="гривен.",AS94,IF(Главная!$P$9="рублей.",AL94,AS94)))</f>
        <v>1.74</v>
      </c>
      <c r="N94" s="162">
        <f>IF(Главная!$P$9="Дол.",BB94,IF(Главная!$P$9="гривен.",AT94,IF(Главная!$P$9="рублей.",AM94,AT94)))</f>
        <v>1.74</v>
      </c>
      <c r="O94" s="162">
        <f>IF(Главная!$P$9="Дол.",BC94,IF(Главная!$P$9="гривен.",AU94,IF(Главная!$P$9="рублей.",AN94,AU94)))</f>
        <v>1.74</v>
      </c>
      <c r="P94" s="148">
        <v>6.8</v>
      </c>
      <c r="Q94" s="148">
        <v>6.4</v>
      </c>
      <c r="R94" s="148">
        <v>6.2</v>
      </c>
      <c r="S94" s="148">
        <v>6.1</v>
      </c>
      <c r="T94" s="148">
        <v>6</v>
      </c>
      <c r="U94" s="147">
        <v>5.6</v>
      </c>
      <c r="V94" s="147">
        <v>5.4</v>
      </c>
      <c r="W94" s="147">
        <v>2000</v>
      </c>
      <c r="X94" s="147">
        <v>1900</v>
      </c>
      <c r="Y94" s="147">
        <v>1800</v>
      </c>
      <c r="Z94" s="147">
        <v>1700</v>
      </c>
      <c r="AA94" s="147">
        <v>1600</v>
      </c>
      <c r="AB94" s="147">
        <v>1500</v>
      </c>
      <c r="AC94" s="147">
        <v>1400</v>
      </c>
      <c r="AD94" s="147">
        <v>1350</v>
      </c>
      <c r="AE94" s="147">
        <v>1300</v>
      </c>
      <c r="AI94" s="150" t="s">
        <v>680</v>
      </c>
      <c r="AJ94" s="148">
        <v>7.8</v>
      </c>
      <c r="AK94" s="148">
        <v>7.6</v>
      </c>
      <c r="AL94" s="148">
        <v>7.4</v>
      </c>
      <c r="AM94" s="148">
        <v>7.2</v>
      </c>
      <c r="AN94" s="148">
        <v>7</v>
      </c>
      <c r="AP94" s="144" t="s">
        <v>2424</v>
      </c>
      <c r="AQ94" s="141">
        <v>1.74</v>
      </c>
      <c r="AR94" s="141">
        <v>1.74</v>
      </c>
      <c r="AS94" s="141">
        <v>1.74</v>
      </c>
      <c r="AT94" s="141">
        <v>1.74</v>
      </c>
      <c r="AU94" s="141">
        <v>1.74</v>
      </c>
      <c r="AV94" s="141">
        <v>1.74</v>
      </c>
      <c r="AW94" s="141">
        <v>1.74</v>
      </c>
      <c r="AX94" s="126" t="s">
        <v>2587</v>
      </c>
    </row>
    <row r="95" spans="1:50" ht="21">
      <c r="A95" s="150" t="str">
        <f>IF(Главная!$P$9="Дол.",AX95,IF(Главная!$P$9="гривен.",AP95,IF(Главная!$P$9="рублей.",AI95,AP95)))</f>
        <v>Доброполье</v>
      </c>
      <c r="B95" s="150">
        <v>6304533</v>
      </c>
      <c r="C95" s="151" t="s">
        <v>2513</v>
      </c>
      <c r="D95" s="147"/>
      <c r="E95" s="147">
        <v>300</v>
      </c>
      <c r="F95" s="147">
        <v>330</v>
      </c>
      <c r="G95" s="147">
        <v>340</v>
      </c>
      <c r="H95" s="147">
        <v>350</v>
      </c>
      <c r="I95" s="147">
        <v>360</v>
      </c>
      <c r="J95" s="147">
        <v>9</v>
      </c>
      <c r="K95" s="162">
        <f>IF(Главная!$P$9="Дол.",AY95,IF(Главная!$P$9="гривен.",AQ95,IF(Главная!$P$9="рублей.",AJ95,AQ95)))</f>
        <v>2.23</v>
      </c>
      <c r="L95" s="162">
        <f>IF(Главная!$P$9="Дол.",AZ95,IF(Главная!$P$9="гривен.",AR95,IF(Главная!$P$9="рублей.",AK95,AR95)))</f>
        <v>2.23</v>
      </c>
      <c r="M95" s="162">
        <f>IF(Главная!$P$9="Дол.",BA95,IF(Главная!$P$9="гривен.",AS95,IF(Главная!$P$9="рублей.",AL95,AS95)))</f>
        <v>2.23</v>
      </c>
      <c r="N95" s="162">
        <f>IF(Главная!$P$9="Дол.",BB95,IF(Главная!$P$9="гривен.",AT95,IF(Главная!$P$9="рублей.",AM95,AT95)))</f>
        <v>2.23</v>
      </c>
      <c r="O95" s="162">
        <f>IF(Главная!$P$9="Дол.",BC95,IF(Главная!$P$9="гривен.",AU95,IF(Главная!$P$9="рублей.",AN95,AU95)))</f>
        <v>2.23</v>
      </c>
      <c r="P95" s="148">
        <v>6.8</v>
      </c>
      <c r="Q95" s="148">
        <v>6.6</v>
      </c>
      <c r="R95" s="148">
        <v>6.4</v>
      </c>
      <c r="S95" s="148">
        <v>6.2</v>
      </c>
      <c r="T95" s="148">
        <v>6</v>
      </c>
      <c r="U95" s="147">
        <v>5.6</v>
      </c>
      <c r="V95" s="147">
        <v>5.4</v>
      </c>
      <c r="W95" s="147">
        <v>1700</v>
      </c>
      <c r="X95" s="147">
        <v>1600</v>
      </c>
      <c r="Y95" s="147">
        <v>1500</v>
      </c>
      <c r="Z95" s="147">
        <v>1450</v>
      </c>
      <c r="AA95" s="147">
        <v>1400</v>
      </c>
      <c r="AB95" s="147">
        <v>1350</v>
      </c>
      <c r="AC95" s="147">
        <v>1300</v>
      </c>
      <c r="AD95" s="147">
        <v>1300</v>
      </c>
      <c r="AE95" s="147">
        <v>1300</v>
      </c>
      <c r="AI95" s="150" t="s">
        <v>669</v>
      </c>
      <c r="AJ95" s="148">
        <v>8</v>
      </c>
      <c r="AK95" s="148">
        <v>7.8</v>
      </c>
      <c r="AL95" s="148">
        <v>7.6</v>
      </c>
      <c r="AM95" s="148">
        <v>7.2</v>
      </c>
      <c r="AN95" s="148">
        <v>7</v>
      </c>
      <c r="AP95" s="144" t="s">
        <v>2423</v>
      </c>
      <c r="AQ95" s="141">
        <v>2.23</v>
      </c>
      <c r="AR95" s="141">
        <v>2.23</v>
      </c>
      <c r="AS95" s="141">
        <v>2.23</v>
      </c>
      <c r="AT95" s="141">
        <v>2.23</v>
      </c>
      <c r="AU95" s="141">
        <v>2.23</v>
      </c>
      <c r="AV95" s="141">
        <v>2.23</v>
      </c>
      <c r="AW95" s="141">
        <v>2.23</v>
      </c>
      <c r="AX95" s="126" t="s">
        <v>2588</v>
      </c>
    </row>
    <row r="96" spans="1:50" ht="14.5">
      <c r="A96" s="150" t="str">
        <f>IF(Главная!$P$9="Дол.",AX96,IF(Главная!$P$9="гривен.",AP96,IF(Главная!$P$9="рублей.",AI96,AP96)))</f>
        <v>Докучаевск</v>
      </c>
      <c r="B96" s="150">
        <v>6307364</v>
      </c>
      <c r="C96" s="149"/>
      <c r="D96" s="147"/>
      <c r="E96" s="147">
        <v>300</v>
      </c>
      <c r="F96" s="147">
        <v>400</v>
      </c>
      <c r="G96" s="147">
        <v>460</v>
      </c>
      <c r="H96" s="147">
        <v>470</v>
      </c>
      <c r="I96" s="147">
        <v>480</v>
      </c>
      <c r="J96" s="147">
        <v>12</v>
      </c>
      <c r="K96" s="162">
        <f>IF(Главная!$P$9="Дол.",AY96,IF(Главная!$P$9="гривен.",AQ96,IF(Главная!$P$9="рублей.",AJ96,AQ96)))</f>
        <v>2.23</v>
      </c>
      <c r="L96" s="162">
        <f>IF(Главная!$P$9="Дол.",AZ96,IF(Главная!$P$9="гривен.",AR96,IF(Главная!$P$9="рублей.",AK96,AR96)))</f>
        <v>2.23</v>
      </c>
      <c r="M96" s="162">
        <f>IF(Главная!$P$9="Дол.",BA96,IF(Главная!$P$9="гривен.",AS96,IF(Главная!$P$9="рублей.",AL96,AS96)))</f>
        <v>2.23</v>
      </c>
      <c r="N96" s="162">
        <f>IF(Главная!$P$9="Дол.",BB96,IF(Главная!$P$9="гривен.",AT96,IF(Главная!$P$9="рублей.",AM96,AT96)))</f>
        <v>2.23</v>
      </c>
      <c r="O96" s="162">
        <f>IF(Главная!$P$9="Дол.",BC96,IF(Главная!$P$9="гривен.",AU96,IF(Главная!$P$9="рублей.",AN96,AU96)))</f>
        <v>2.23</v>
      </c>
      <c r="P96" s="148">
        <v>10.199999999999999</v>
      </c>
      <c r="Q96" s="148">
        <v>10</v>
      </c>
      <c r="R96" s="148">
        <v>9.8000000000000007</v>
      </c>
      <c r="S96" s="148">
        <v>9.6</v>
      </c>
      <c r="T96" s="148">
        <v>9.4</v>
      </c>
      <c r="U96" s="147">
        <v>9.1999999999999993</v>
      </c>
      <c r="V96" s="147">
        <v>9</v>
      </c>
      <c r="W96" s="147">
        <v>2600</v>
      </c>
      <c r="X96" s="147">
        <v>2500</v>
      </c>
      <c r="Y96" s="147">
        <v>2450</v>
      </c>
      <c r="Z96" s="147">
        <v>2400</v>
      </c>
      <c r="AA96" s="147">
        <v>2350</v>
      </c>
      <c r="AB96" s="147">
        <v>2300</v>
      </c>
      <c r="AC96" s="147">
        <v>2280</v>
      </c>
      <c r="AD96" s="147">
        <v>2250</v>
      </c>
      <c r="AE96" s="147">
        <v>2200</v>
      </c>
      <c r="AI96" s="150" t="s">
        <v>665</v>
      </c>
      <c r="AJ96" s="148">
        <v>12</v>
      </c>
      <c r="AK96" s="148">
        <v>11</v>
      </c>
      <c r="AL96" s="148">
        <v>10.5</v>
      </c>
      <c r="AM96" s="148">
        <v>10.4</v>
      </c>
      <c r="AN96" s="148">
        <v>10.3</v>
      </c>
      <c r="AP96" s="144" t="s">
        <v>2422</v>
      </c>
      <c r="AQ96" s="141">
        <v>2.23</v>
      </c>
      <c r="AR96" s="141">
        <v>2.23</v>
      </c>
      <c r="AS96" s="141">
        <v>2.23</v>
      </c>
      <c r="AT96" s="141">
        <v>2.23</v>
      </c>
      <c r="AU96" s="141">
        <v>2.23</v>
      </c>
      <c r="AV96" s="141">
        <v>2.23</v>
      </c>
      <c r="AW96" s="141">
        <v>2.23</v>
      </c>
      <c r="AX96" s="126" t="s">
        <v>2589</v>
      </c>
    </row>
    <row r="97" spans="1:50" ht="14.5">
      <c r="A97" s="150" t="str">
        <f>IF(Главная!$P$9="Дол.",AX97,IF(Главная!$P$9="гривен.",AP97,IF(Главная!$P$9="рублей.",AI97,AP97)))</f>
        <v>Долина</v>
      </c>
      <c r="B97" s="150">
        <v>6309598</v>
      </c>
      <c r="C97" s="149"/>
      <c r="D97" s="147"/>
      <c r="E97" s="147">
        <v>290</v>
      </c>
      <c r="F97" s="147">
        <v>300</v>
      </c>
      <c r="G97" s="147">
        <v>310</v>
      </c>
      <c r="H97" s="147">
        <v>320</v>
      </c>
      <c r="I97" s="147">
        <v>330</v>
      </c>
      <c r="J97" s="147">
        <v>8.1999999999999993</v>
      </c>
      <c r="K97" s="162">
        <f>IF(Главная!$P$9="Дол.",AY97,IF(Главная!$P$9="гривен.",AQ97,IF(Главная!$P$9="рублей.",AJ97,AQ97)))</f>
        <v>2.59</v>
      </c>
      <c r="L97" s="162">
        <f>IF(Главная!$P$9="Дол.",AZ97,IF(Главная!$P$9="гривен.",AR97,IF(Главная!$P$9="рублей.",AK97,AR97)))</f>
        <v>2.59</v>
      </c>
      <c r="M97" s="162">
        <f>IF(Главная!$P$9="Дол.",BA97,IF(Главная!$P$9="гривен.",AS97,IF(Главная!$P$9="рублей.",AL97,AS97)))</f>
        <v>2.59</v>
      </c>
      <c r="N97" s="162">
        <f>IF(Главная!$P$9="Дол.",BB97,IF(Главная!$P$9="гривен.",AT97,IF(Главная!$P$9="рублей.",AM97,AT97)))</f>
        <v>2.59</v>
      </c>
      <c r="O97" s="162">
        <f>IF(Главная!$P$9="Дол.",BC97,IF(Главная!$P$9="гривен.",AU97,IF(Главная!$P$9="рублей.",AN97,AU97)))</f>
        <v>2.59</v>
      </c>
      <c r="P97" s="148">
        <v>6.8</v>
      </c>
      <c r="Q97" s="148">
        <v>6.4</v>
      </c>
      <c r="R97" s="148">
        <v>6.2</v>
      </c>
      <c r="S97" s="148">
        <v>6.1</v>
      </c>
      <c r="T97" s="148">
        <v>6</v>
      </c>
      <c r="U97" s="147">
        <v>5.6</v>
      </c>
      <c r="V97" s="147">
        <v>5.4</v>
      </c>
      <c r="W97" s="147">
        <v>2000</v>
      </c>
      <c r="X97" s="147">
        <v>1900</v>
      </c>
      <c r="Y97" s="147">
        <v>1800</v>
      </c>
      <c r="Z97" s="147">
        <v>1700</v>
      </c>
      <c r="AA97" s="147">
        <v>1600</v>
      </c>
      <c r="AB97" s="147">
        <v>1500</v>
      </c>
      <c r="AC97" s="147">
        <v>1400</v>
      </c>
      <c r="AD97" s="147">
        <v>1350</v>
      </c>
      <c r="AE97" s="147">
        <v>1300</v>
      </c>
      <c r="AI97" s="150" t="s">
        <v>654</v>
      </c>
      <c r="AJ97" s="148">
        <v>7.8</v>
      </c>
      <c r="AK97" s="148">
        <v>7.6</v>
      </c>
      <c r="AL97" s="148">
        <v>7.4</v>
      </c>
      <c r="AM97" s="148">
        <v>7.2</v>
      </c>
      <c r="AN97" s="148">
        <v>7</v>
      </c>
      <c r="AP97" s="144" t="s">
        <v>2421</v>
      </c>
      <c r="AQ97" s="141">
        <v>2.59</v>
      </c>
      <c r="AR97" s="141">
        <v>2.59</v>
      </c>
      <c r="AS97" s="141">
        <v>2.59</v>
      </c>
      <c r="AT97" s="141">
        <v>2.59</v>
      </c>
      <c r="AU97" s="141">
        <v>2.59</v>
      </c>
      <c r="AV97" s="141">
        <v>2.59</v>
      </c>
      <c r="AW97" s="141">
        <v>2.59</v>
      </c>
      <c r="AX97" s="126" t="s">
        <v>2590</v>
      </c>
    </row>
    <row r="98" spans="1:50" ht="14.5">
      <c r="A98" s="150" t="str">
        <f>IF(Главная!$P$9="Дол.",AX98,IF(Главная!$P$9="гривен.",AP98,IF(Главная!$P$9="рублей.",AI98,AP98)))</f>
        <v>Долинская</v>
      </c>
      <c r="B98" s="150">
        <v>6379271</v>
      </c>
      <c r="C98" s="149"/>
      <c r="D98" s="147">
        <v>1690</v>
      </c>
      <c r="E98" s="147"/>
      <c r="F98" s="147"/>
      <c r="G98" s="147"/>
      <c r="H98" s="147"/>
      <c r="I98" s="147"/>
      <c r="J98" s="147"/>
      <c r="K98" s="162">
        <f>IF(Главная!$P$9="Дол.",AY98,IF(Главная!$P$9="гривен.",AQ98,IF(Главная!$P$9="рублей.",AJ98,AQ98)))</f>
        <v>2.12</v>
      </c>
      <c r="L98" s="162">
        <f>IF(Главная!$P$9="Дол.",AZ98,IF(Главная!$P$9="гривен.",AR98,IF(Главная!$P$9="рублей.",AK98,AR98)))</f>
        <v>2.12</v>
      </c>
      <c r="M98" s="162">
        <f>IF(Главная!$P$9="Дол.",BA98,IF(Главная!$P$9="гривен.",AS98,IF(Главная!$P$9="рублей.",AL98,AS98)))</f>
        <v>2.12</v>
      </c>
      <c r="N98" s="162">
        <f>IF(Главная!$P$9="Дол.",BB98,IF(Главная!$P$9="гривен.",AT98,IF(Главная!$P$9="рублей.",AM98,AT98)))</f>
        <v>2.12</v>
      </c>
      <c r="O98" s="162">
        <f>IF(Главная!$P$9="Дол.",BC98,IF(Главная!$P$9="гривен.",AU98,IF(Главная!$P$9="рублей.",AN98,AU98)))</f>
        <v>2.12</v>
      </c>
      <c r="P98" s="148">
        <v>1.3</v>
      </c>
      <c r="Q98" s="148">
        <v>1</v>
      </c>
      <c r="R98" s="148">
        <v>0.9</v>
      </c>
      <c r="S98" s="148">
        <v>0.8</v>
      </c>
      <c r="T98" s="148">
        <v>0.7</v>
      </c>
      <c r="U98" s="147">
        <v>0.5</v>
      </c>
      <c r="V98" s="147">
        <v>0.5</v>
      </c>
      <c r="W98" s="147"/>
      <c r="X98" s="147">
        <v>540</v>
      </c>
      <c r="Y98" s="147">
        <v>490</v>
      </c>
      <c r="Z98" s="147">
        <v>310</v>
      </c>
      <c r="AA98" s="147">
        <v>280</v>
      </c>
      <c r="AB98" s="147">
        <v>240</v>
      </c>
      <c r="AC98" s="147">
        <v>200</v>
      </c>
      <c r="AD98" s="147">
        <v>130</v>
      </c>
      <c r="AE98" s="147">
        <v>120</v>
      </c>
      <c r="AI98" s="150" t="s">
        <v>2526</v>
      </c>
      <c r="AJ98" s="148"/>
      <c r="AK98" s="148">
        <v>2.8</v>
      </c>
      <c r="AL98" s="148">
        <v>2.1</v>
      </c>
      <c r="AM98" s="148">
        <v>1.9</v>
      </c>
      <c r="AN98" s="148">
        <v>1.7</v>
      </c>
      <c r="AP98" s="144" t="s">
        <v>2420</v>
      </c>
      <c r="AQ98" s="141">
        <v>2.12</v>
      </c>
      <c r="AR98" s="141">
        <v>2.12</v>
      </c>
      <c r="AS98" s="141">
        <v>2.12</v>
      </c>
      <c r="AT98" s="141">
        <v>2.12</v>
      </c>
      <c r="AU98" s="141">
        <v>2.12</v>
      </c>
      <c r="AV98" s="141">
        <v>2.12</v>
      </c>
      <c r="AW98" s="141">
        <v>2.12</v>
      </c>
      <c r="AX98" s="126" t="s">
        <v>2583</v>
      </c>
    </row>
    <row r="99" spans="1:50" ht="21">
      <c r="A99" s="150" t="str">
        <f>IF(Главная!$P$9="Дол.",AX99,IF(Главная!$P$9="гривен.",AP99,IF(Главная!$P$9="рублей.",AI99,AP99)))</f>
        <v>Донецк</v>
      </c>
      <c r="B99" s="150">
        <v>6489603</v>
      </c>
      <c r="C99" s="149"/>
      <c r="D99" s="147"/>
      <c r="E99" s="147">
        <v>300</v>
      </c>
      <c r="F99" s="147">
        <v>400</v>
      </c>
      <c r="G99" s="147">
        <v>600</v>
      </c>
      <c r="H99" s="147">
        <v>800</v>
      </c>
      <c r="I99" s="147">
        <v>860</v>
      </c>
      <c r="J99" s="147">
        <v>21.5</v>
      </c>
      <c r="K99" s="162">
        <f>IF(Главная!$P$9="Дол.",AY99,IF(Главная!$P$9="гривен.",AQ99,IF(Главная!$P$9="рублей.",AJ99,AQ99)))</f>
        <v>2.12</v>
      </c>
      <c r="L99" s="162">
        <f>IF(Главная!$P$9="Дол.",AZ99,IF(Главная!$P$9="гривен.",AR99,IF(Главная!$P$9="рублей.",AK99,AR99)))</f>
        <v>2.12</v>
      </c>
      <c r="M99" s="162">
        <f>IF(Главная!$P$9="Дол.",BA99,IF(Главная!$P$9="гривен.",AS99,IF(Главная!$P$9="рублей.",AL99,AS99)))</f>
        <v>2.12</v>
      </c>
      <c r="N99" s="162">
        <f>IF(Главная!$P$9="Дол.",BB99,IF(Главная!$P$9="гривен.",AT99,IF(Главная!$P$9="рублей.",AM99,AT99)))</f>
        <v>2.12</v>
      </c>
      <c r="O99" s="162">
        <f>IF(Главная!$P$9="Дол.",BC99,IF(Главная!$P$9="гривен.",AU99,IF(Главная!$P$9="рублей.",AN99,AU99)))</f>
        <v>2.12</v>
      </c>
      <c r="P99" s="148">
        <v>19.5</v>
      </c>
      <c r="Q99" s="148">
        <v>19.2</v>
      </c>
      <c r="R99" s="148">
        <v>19</v>
      </c>
      <c r="S99" s="148">
        <v>18.8</v>
      </c>
      <c r="T99" s="148">
        <v>18.600000000000001</v>
      </c>
      <c r="U99" s="147">
        <v>18.399999999999999</v>
      </c>
      <c r="V99" s="147">
        <v>18.2</v>
      </c>
      <c r="W99" s="147">
        <v>4610</v>
      </c>
      <c r="X99" s="147">
        <v>4470</v>
      </c>
      <c r="Y99" s="147">
        <v>4380</v>
      </c>
      <c r="Z99" s="147">
        <v>4290</v>
      </c>
      <c r="AA99" s="147">
        <v>4160</v>
      </c>
      <c r="AB99" s="147">
        <v>4070</v>
      </c>
      <c r="AC99" s="147">
        <v>4020</v>
      </c>
      <c r="AD99" s="147">
        <v>3980</v>
      </c>
      <c r="AE99" s="147">
        <v>3930</v>
      </c>
      <c r="AI99" s="150" t="s">
        <v>2249</v>
      </c>
      <c r="AJ99" s="148">
        <v>21.5</v>
      </c>
      <c r="AK99" s="148">
        <v>20.9</v>
      </c>
      <c r="AL99" s="148">
        <v>20.5</v>
      </c>
      <c r="AM99" s="148">
        <v>20.100000000000001</v>
      </c>
      <c r="AN99" s="148">
        <v>19.7</v>
      </c>
      <c r="AP99" s="144" t="s">
        <v>2419</v>
      </c>
      <c r="AQ99" s="141">
        <v>2.12</v>
      </c>
      <c r="AR99" s="141">
        <v>2.12</v>
      </c>
      <c r="AS99" s="141">
        <v>2.12</v>
      </c>
      <c r="AT99" s="141">
        <v>2.12</v>
      </c>
      <c r="AU99" s="141">
        <v>2.12</v>
      </c>
      <c r="AV99" s="141">
        <v>2.12</v>
      </c>
      <c r="AW99" s="141">
        <v>2.12</v>
      </c>
      <c r="AX99" s="126" t="s">
        <v>2584</v>
      </c>
    </row>
    <row r="100" spans="1:50" ht="21">
      <c r="A100" s="150" t="str">
        <f>IF(Главная!$P$9="Дол.",AX100,IF(Главная!$P$9="гривен.",AP100,IF(Главная!$P$9="рублей.",AI100,AP100)))</f>
        <v>Дрогобыч</v>
      </c>
      <c r="B100" s="150">
        <v>6489604</v>
      </c>
      <c r="C100" s="149"/>
      <c r="D100" s="147"/>
      <c r="E100" s="147">
        <v>300</v>
      </c>
      <c r="F100" s="147">
        <v>400</v>
      </c>
      <c r="G100" s="147">
        <v>600</v>
      </c>
      <c r="H100" s="147">
        <v>800</v>
      </c>
      <c r="I100" s="147">
        <v>820</v>
      </c>
      <c r="J100" s="147">
        <v>20.5</v>
      </c>
      <c r="K100" s="162">
        <f>IF(Главная!$P$9="Дол.",AY100,IF(Главная!$P$9="гривен.",AQ100,IF(Главная!$P$9="рублей.",AJ100,AQ100)))</f>
        <v>2.12</v>
      </c>
      <c r="L100" s="162">
        <f>IF(Главная!$P$9="Дол.",AZ100,IF(Главная!$P$9="гривен.",AR100,IF(Главная!$P$9="рублей.",AK100,AR100)))</f>
        <v>2.12</v>
      </c>
      <c r="M100" s="162">
        <f>IF(Главная!$P$9="Дол.",BA100,IF(Главная!$P$9="гривен.",AS100,IF(Главная!$P$9="рублей.",AL100,AS100)))</f>
        <v>2.12</v>
      </c>
      <c r="N100" s="162">
        <f>IF(Главная!$P$9="Дол.",BB100,IF(Главная!$P$9="гривен.",AT100,IF(Главная!$P$9="рублей.",AM100,AT100)))</f>
        <v>2.12</v>
      </c>
      <c r="O100" s="162">
        <f>IF(Главная!$P$9="Дол.",BC100,IF(Главная!$P$9="гривен.",AU100,IF(Главная!$P$9="рублей.",AN100,AU100)))</f>
        <v>2.12</v>
      </c>
      <c r="P100" s="148">
        <v>18.5</v>
      </c>
      <c r="Q100" s="148">
        <v>18.2</v>
      </c>
      <c r="R100" s="148">
        <v>18</v>
      </c>
      <c r="S100" s="148">
        <v>17.8</v>
      </c>
      <c r="T100" s="148">
        <v>17.600000000000001</v>
      </c>
      <c r="U100" s="147">
        <v>17.399999999999999</v>
      </c>
      <c r="V100" s="147">
        <v>17.2</v>
      </c>
      <c r="W100" s="147">
        <v>4510</v>
      </c>
      <c r="X100" s="147">
        <v>4370</v>
      </c>
      <c r="Y100" s="147">
        <v>4280</v>
      </c>
      <c r="Z100" s="147">
        <v>4190</v>
      </c>
      <c r="AA100" s="147">
        <v>4060</v>
      </c>
      <c r="AB100" s="147">
        <v>3970</v>
      </c>
      <c r="AC100" s="147">
        <v>3920</v>
      </c>
      <c r="AD100" s="147">
        <v>3880</v>
      </c>
      <c r="AE100" s="147">
        <v>3830</v>
      </c>
      <c r="AI100" s="150" t="s">
        <v>2246</v>
      </c>
      <c r="AJ100" s="148">
        <v>20.5</v>
      </c>
      <c r="AK100" s="148">
        <v>19.899999999999999</v>
      </c>
      <c r="AL100" s="148">
        <v>19.5</v>
      </c>
      <c r="AM100" s="148">
        <v>19.100000000000001</v>
      </c>
      <c r="AN100" s="148">
        <v>18.7</v>
      </c>
      <c r="AP100" s="144" t="s">
        <v>2418</v>
      </c>
      <c r="AQ100" s="141">
        <v>2.12</v>
      </c>
      <c r="AR100" s="141">
        <v>2.12</v>
      </c>
      <c r="AS100" s="141">
        <v>2.12</v>
      </c>
      <c r="AT100" s="141">
        <v>2.12</v>
      </c>
      <c r="AU100" s="141">
        <v>2.12</v>
      </c>
      <c r="AV100" s="141">
        <v>2.12</v>
      </c>
      <c r="AW100" s="141">
        <v>2.12</v>
      </c>
      <c r="AX100" s="126" t="s">
        <v>2585</v>
      </c>
    </row>
    <row r="101" spans="1:50" ht="21">
      <c r="A101" s="150" t="str">
        <f>IF(Главная!$P$9="Дол.",AX101,IF(Главная!$P$9="гривен.",AP101,IF(Главная!$P$9="рублей.",AI101,AP101)))</f>
        <v>Дружковка</v>
      </c>
      <c r="B101" s="150">
        <v>6308056</v>
      </c>
      <c r="C101" s="149"/>
      <c r="D101" s="147"/>
      <c r="E101" s="147">
        <v>300</v>
      </c>
      <c r="F101" s="147">
        <v>400</v>
      </c>
      <c r="G101" s="147">
        <v>600</v>
      </c>
      <c r="H101" s="147">
        <v>670</v>
      </c>
      <c r="I101" s="147">
        <v>680</v>
      </c>
      <c r="J101" s="147">
        <v>17</v>
      </c>
      <c r="K101" s="162">
        <f>IF(Главная!$P$9="Дол.",AY101,IF(Главная!$P$9="гривен.",AQ101,IF(Главная!$P$9="рублей.",AJ101,AQ101)))</f>
        <v>1.86</v>
      </c>
      <c r="L101" s="162">
        <f>IF(Главная!$P$9="Дол.",AZ101,IF(Главная!$P$9="гривен.",AR101,IF(Главная!$P$9="рублей.",AK101,AR101)))</f>
        <v>1.86</v>
      </c>
      <c r="M101" s="162">
        <f>IF(Главная!$P$9="Дол.",BA101,IF(Главная!$P$9="гривен.",AS101,IF(Главная!$P$9="рублей.",AL101,AS101)))</f>
        <v>1.86</v>
      </c>
      <c r="N101" s="162">
        <f>IF(Главная!$P$9="Дол.",BB101,IF(Главная!$P$9="гривен.",AT101,IF(Главная!$P$9="рублей.",AM101,AT101)))</f>
        <v>1.86</v>
      </c>
      <c r="O101" s="162">
        <f>IF(Главная!$P$9="Дол.",BC101,IF(Главная!$P$9="гривен.",AU101,IF(Главная!$P$9="рублей.",AN101,AU101)))</f>
        <v>1.86</v>
      </c>
      <c r="P101" s="148">
        <v>15.6</v>
      </c>
      <c r="Q101" s="148">
        <v>15.4</v>
      </c>
      <c r="R101" s="148">
        <v>15.2</v>
      </c>
      <c r="S101" s="148">
        <v>15</v>
      </c>
      <c r="T101" s="148">
        <v>14.8</v>
      </c>
      <c r="U101" s="147">
        <v>14.6</v>
      </c>
      <c r="V101" s="147">
        <v>14.2</v>
      </c>
      <c r="W101" s="147">
        <v>3800</v>
      </c>
      <c r="X101" s="147">
        <v>3700</v>
      </c>
      <c r="Y101" s="147">
        <v>3600</v>
      </c>
      <c r="Z101" s="147">
        <v>3500</v>
      </c>
      <c r="AA101" s="147">
        <v>3450</v>
      </c>
      <c r="AB101" s="147">
        <v>3400</v>
      </c>
      <c r="AC101" s="147">
        <v>3350</v>
      </c>
      <c r="AD101" s="147">
        <v>3350</v>
      </c>
      <c r="AE101" s="147">
        <v>3350</v>
      </c>
      <c r="AI101" s="150" t="s">
        <v>620</v>
      </c>
      <c r="AJ101" s="148">
        <v>17</v>
      </c>
      <c r="AK101" s="148">
        <v>16.8</v>
      </c>
      <c r="AL101" s="148">
        <v>16.5</v>
      </c>
      <c r="AM101" s="148">
        <v>16</v>
      </c>
      <c r="AN101" s="148">
        <v>15.8</v>
      </c>
      <c r="AP101" s="144" t="s">
        <v>2417</v>
      </c>
      <c r="AQ101" s="141">
        <v>1.86</v>
      </c>
      <c r="AR101" s="141">
        <v>1.86</v>
      </c>
      <c r="AS101" s="141">
        <v>1.86</v>
      </c>
      <c r="AT101" s="141">
        <v>1.86</v>
      </c>
      <c r="AU101" s="141">
        <v>1.86</v>
      </c>
      <c r="AV101" s="141">
        <v>1.86</v>
      </c>
      <c r="AW101" s="141">
        <v>1.86</v>
      </c>
      <c r="AX101" s="126" t="s">
        <v>2586</v>
      </c>
    </row>
    <row r="102" spans="1:50" ht="14.5">
      <c r="A102" s="150" t="str">
        <f>IF(Главная!$P$9="Дол.",AX102,IF(Главная!$P$9="гривен.",AP102,IF(Главная!$P$9="рублей.",AI102,AP102)))</f>
        <v>Дубровица</v>
      </c>
      <c r="B102" s="150">
        <v>6307448</v>
      </c>
      <c r="C102" s="151" t="s">
        <v>2513</v>
      </c>
      <c r="D102" s="147"/>
      <c r="E102" s="147">
        <v>290</v>
      </c>
      <c r="F102" s="147">
        <v>300</v>
      </c>
      <c r="G102" s="147">
        <v>310</v>
      </c>
      <c r="H102" s="147">
        <v>320</v>
      </c>
      <c r="I102" s="147">
        <v>330</v>
      </c>
      <c r="J102" s="147">
        <v>8.1999999999999993</v>
      </c>
      <c r="K102" s="162">
        <f>IF(Главная!$P$9="Дол.",AY102,IF(Главная!$P$9="гривен.",AQ102,IF(Главная!$P$9="рублей.",AJ102,AQ102)))</f>
        <v>2.12</v>
      </c>
      <c r="L102" s="162">
        <f>IF(Главная!$P$9="Дол.",AZ102,IF(Главная!$P$9="гривен.",AR102,IF(Главная!$P$9="рублей.",AK102,AR102)))</f>
        <v>2.12</v>
      </c>
      <c r="M102" s="162">
        <f>IF(Главная!$P$9="Дол.",BA102,IF(Главная!$P$9="гривен.",AS102,IF(Главная!$P$9="рублей.",AL102,AS102)))</f>
        <v>2.12</v>
      </c>
      <c r="N102" s="162">
        <f>IF(Главная!$P$9="Дол.",BB102,IF(Главная!$P$9="гривен.",AT102,IF(Главная!$P$9="рублей.",AM102,AT102)))</f>
        <v>2.12</v>
      </c>
      <c r="O102" s="162">
        <f>IF(Главная!$P$9="Дол.",BC102,IF(Главная!$P$9="гривен.",AU102,IF(Главная!$P$9="рублей.",AN102,AU102)))</f>
        <v>2.12</v>
      </c>
      <c r="P102" s="148">
        <v>7</v>
      </c>
      <c r="Q102" s="148">
        <v>6.8</v>
      </c>
      <c r="R102" s="148">
        <v>6.6</v>
      </c>
      <c r="S102" s="148">
        <v>6.4</v>
      </c>
      <c r="T102" s="148">
        <v>6.2</v>
      </c>
      <c r="U102" s="147">
        <v>6.1</v>
      </c>
      <c r="V102" s="147">
        <v>6</v>
      </c>
      <c r="W102" s="147">
        <v>2000</v>
      </c>
      <c r="X102" s="147">
        <v>1900</v>
      </c>
      <c r="Y102" s="147">
        <v>1800</v>
      </c>
      <c r="Z102" s="147">
        <v>1700</v>
      </c>
      <c r="AA102" s="147">
        <v>1600</v>
      </c>
      <c r="AB102" s="147">
        <v>1500</v>
      </c>
      <c r="AC102" s="147">
        <v>1400</v>
      </c>
      <c r="AD102" s="147">
        <v>1300</v>
      </c>
      <c r="AE102" s="147">
        <v>1200</v>
      </c>
      <c r="AI102" s="150" t="s">
        <v>617</v>
      </c>
      <c r="AJ102" s="148">
        <v>8</v>
      </c>
      <c r="AK102" s="148">
        <v>7.8</v>
      </c>
      <c r="AL102" s="148">
        <v>7.6</v>
      </c>
      <c r="AM102" s="148">
        <v>7.4</v>
      </c>
      <c r="AN102" s="148">
        <v>7.2</v>
      </c>
      <c r="AP102" s="144" t="s">
        <v>2416</v>
      </c>
      <c r="AQ102" s="141">
        <v>2.12</v>
      </c>
      <c r="AR102" s="141">
        <v>2.12</v>
      </c>
      <c r="AS102" s="141">
        <v>2.12</v>
      </c>
      <c r="AT102" s="141">
        <v>2.12</v>
      </c>
      <c r="AU102" s="141">
        <v>2.12</v>
      </c>
      <c r="AV102" s="141">
        <v>2.12</v>
      </c>
      <c r="AW102" s="141">
        <v>2.12</v>
      </c>
      <c r="AX102" s="126" t="s">
        <v>2587</v>
      </c>
    </row>
    <row r="103" spans="1:50" ht="14.5">
      <c r="A103" s="150" t="str">
        <f>IF(Главная!$P$9="Дол.",AX103,IF(Главная!$P$9="гривен.",AP103,IF(Главная!$P$9="рублей.",AI103,AP103)))</f>
        <v>Дунаевцы</v>
      </c>
      <c r="B103" s="150">
        <v>6308560</v>
      </c>
      <c r="C103" s="149"/>
      <c r="D103" s="147">
        <v>5070</v>
      </c>
      <c r="E103" s="147"/>
      <c r="F103" s="147"/>
      <c r="G103" s="147"/>
      <c r="H103" s="147"/>
      <c r="I103" s="147"/>
      <c r="J103" s="147"/>
      <c r="K103" s="162">
        <f>IF(Главная!$P$9="Дол.",AY103,IF(Главная!$P$9="гривен.",AQ103,IF(Главная!$P$9="рублей.",AJ103,AQ103)))</f>
        <v>2.12</v>
      </c>
      <c r="L103" s="162">
        <f>IF(Главная!$P$9="Дол.",AZ103,IF(Главная!$P$9="гривен.",AR103,IF(Главная!$P$9="рублей.",AK103,AR103)))</f>
        <v>2.12</v>
      </c>
      <c r="M103" s="162">
        <f>IF(Главная!$P$9="Дол.",BA103,IF(Главная!$P$9="гривен.",AS103,IF(Главная!$P$9="рублей.",AL103,AS103)))</f>
        <v>2.12</v>
      </c>
      <c r="N103" s="162">
        <f>IF(Главная!$P$9="Дол.",BB103,IF(Главная!$P$9="гривен.",AT103,IF(Главная!$P$9="рублей.",AM103,AT103)))</f>
        <v>2.12</v>
      </c>
      <c r="O103" s="162">
        <f>IF(Главная!$P$9="Дол.",BC103,IF(Главная!$P$9="гривен.",AU103,IF(Главная!$P$9="рублей.",AN103,AU103)))</f>
        <v>2.12</v>
      </c>
      <c r="P103" s="148">
        <v>3.9</v>
      </c>
      <c r="Q103" s="148">
        <v>2.9</v>
      </c>
      <c r="R103" s="148">
        <v>2.7</v>
      </c>
      <c r="S103" s="148">
        <v>2.2999999999999998</v>
      </c>
      <c r="T103" s="148">
        <v>2</v>
      </c>
      <c r="U103" s="147">
        <v>1.4</v>
      </c>
      <c r="V103" s="147">
        <v>1.4</v>
      </c>
      <c r="W103" s="147"/>
      <c r="X103" s="147">
        <v>1610</v>
      </c>
      <c r="Y103" s="147">
        <v>1460</v>
      </c>
      <c r="Z103" s="147">
        <v>920</v>
      </c>
      <c r="AA103" s="147">
        <v>840</v>
      </c>
      <c r="AB103" s="147">
        <v>720</v>
      </c>
      <c r="AC103" s="147">
        <v>590</v>
      </c>
      <c r="AD103" s="147">
        <v>390</v>
      </c>
      <c r="AE103" s="147">
        <v>360</v>
      </c>
      <c r="AI103" s="150" t="s">
        <v>2525</v>
      </c>
      <c r="AJ103" s="148"/>
      <c r="AK103" s="148">
        <v>8.5</v>
      </c>
      <c r="AL103" s="148">
        <v>6.3</v>
      </c>
      <c r="AM103" s="148">
        <v>5.6</v>
      </c>
      <c r="AN103" s="148">
        <v>5.0999999999999996</v>
      </c>
      <c r="AP103" s="144" t="s">
        <v>2415</v>
      </c>
      <c r="AQ103" s="141">
        <v>2.12</v>
      </c>
      <c r="AR103" s="141">
        <v>2.12</v>
      </c>
      <c r="AS103" s="141">
        <v>2.12</v>
      </c>
      <c r="AT103" s="141">
        <v>2.12</v>
      </c>
      <c r="AU103" s="141">
        <v>2.12</v>
      </c>
      <c r="AV103" s="141">
        <v>2.12</v>
      </c>
      <c r="AW103" s="141">
        <v>2.12</v>
      </c>
      <c r="AX103" s="126" t="s">
        <v>2588</v>
      </c>
    </row>
    <row r="104" spans="1:50" ht="21">
      <c r="A104" s="150" t="str">
        <f>IF(Главная!$P$9="Дол.",AX104,IF(Главная!$P$9="гривен.",AP104,IF(Главная!$P$9="рублей.",AI104,AP104)))</f>
        <v>Евпатория</v>
      </c>
      <c r="B104" s="150">
        <v>6308012</v>
      </c>
      <c r="C104" s="151" t="s">
        <v>2513</v>
      </c>
      <c r="D104" s="147"/>
      <c r="E104" s="147">
        <v>300</v>
      </c>
      <c r="F104" s="147">
        <v>400</v>
      </c>
      <c r="G104" s="147">
        <v>460</v>
      </c>
      <c r="H104" s="147">
        <v>470</v>
      </c>
      <c r="I104" s="147">
        <v>480</v>
      </c>
      <c r="J104" s="147">
        <v>12</v>
      </c>
      <c r="K104" s="162">
        <f>IF(Главная!$P$9="Дол.",AY104,IF(Главная!$P$9="гривен.",AQ104,IF(Главная!$P$9="рублей.",AJ104,AQ104)))</f>
        <v>12</v>
      </c>
      <c r="L104" s="162">
        <f>IF(Главная!$P$9="Дол.",AZ104,IF(Главная!$P$9="гривен.",AR104,IF(Главная!$P$9="рублей.",AK104,AR104)))</f>
        <v>12</v>
      </c>
      <c r="M104" s="162">
        <f>IF(Главная!$P$9="Дол.",BA104,IF(Главная!$P$9="гривен.",AS104,IF(Главная!$P$9="рублей.",AL104,AS104)))</f>
        <v>12</v>
      </c>
      <c r="N104" s="162">
        <f>IF(Главная!$P$9="Дол.",BB104,IF(Главная!$P$9="гривен.",AT104,IF(Главная!$P$9="рублей.",AM104,AT104)))</f>
        <v>12</v>
      </c>
      <c r="O104" s="162">
        <f>IF(Главная!$P$9="Дол.",BC104,IF(Главная!$P$9="гривен.",AU104,IF(Главная!$P$9="рублей.",AN104,AU104)))</f>
        <v>12</v>
      </c>
      <c r="P104" s="148">
        <v>9</v>
      </c>
      <c r="Q104" s="148">
        <v>8.5</v>
      </c>
      <c r="R104" s="148">
        <v>8.4</v>
      </c>
      <c r="S104" s="148">
        <v>8.3000000000000007</v>
      </c>
      <c r="T104" s="148">
        <v>8.1999999999999993</v>
      </c>
      <c r="U104" s="147">
        <v>8.1</v>
      </c>
      <c r="V104" s="147">
        <v>8</v>
      </c>
      <c r="W104" s="147">
        <v>2500</v>
      </c>
      <c r="X104" s="147">
        <v>2400</v>
      </c>
      <c r="Y104" s="147">
        <v>2300</v>
      </c>
      <c r="Z104" s="147">
        <v>2200</v>
      </c>
      <c r="AA104" s="147">
        <v>2150</v>
      </c>
      <c r="AB104" s="147">
        <v>2100</v>
      </c>
      <c r="AC104" s="147">
        <v>2050</v>
      </c>
      <c r="AD104" s="147">
        <v>2000</v>
      </c>
      <c r="AE104" s="147">
        <v>1900</v>
      </c>
      <c r="AI104" s="150" t="s">
        <v>556</v>
      </c>
      <c r="AJ104" s="148">
        <v>11.5</v>
      </c>
      <c r="AK104" s="148">
        <v>11</v>
      </c>
      <c r="AL104" s="148">
        <v>10.5</v>
      </c>
      <c r="AM104" s="148">
        <v>10</v>
      </c>
      <c r="AN104" s="148">
        <v>9.5</v>
      </c>
      <c r="AP104" s="144" t="s">
        <v>2414</v>
      </c>
      <c r="AQ104" s="141">
        <v>12</v>
      </c>
      <c r="AR104" s="141">
        <v>12</v>
      </c>
      <c r="AS104" s="141">
        <v>12</v>
      </c>
      <c r="AT104" s="141">
        <v>12</v>
      </c>
      <c r="AU104" s="141">
        <v>12</v>
      </c>
      <c r="AV104" s="141">
        <v>12</v>
      </c>
      <c r="AW104" s="141">
        <v>12</v>
      </c>
      <c r="AX104" s="126" t="s">
        <v>2589</v>
      </c>
    </row>
    <row r="105" spans="1:50" ht="21">
      <c r="A105" s="150" t="str">
        <f>IF(Главная!$P$9="Дол.",AX105,IF(Главная!$P$9="гривен.",AP105,IF(Главная!$P$9="рублей.",AI105,AP105)))</f>
        <v>Енакиево</v>
      </c>
      <c r="B105" s="150">
        <v>6307094</v>
      </c>
      <c r="C105" s="149"/>
      <c r="D105" s="147"/>
      <c r="E105" s="147">
        <v>300</v>
      </c>
      <c r="F105" s="147">
        <v>330</v>
      </c>
      <c r="G105" s="147">
        <v>340</v>
      </c>
      <c r="H105" s="147">
        <v>350</v>
      </c>
      <c r="I105" s="147">
        <v>360</v>
      </c>
      <c r="J105" s="147">
        <v>9</v>
      </c>
      <c r="K105" s="162">
        <f>IF(Главная!$P$9="Дол.",AY105,IF(Главная!$P$9="гривен.",AQ105,IF(Главная!$P$9="рублей.",AJ105,AQ105)))</f>
        <v>2.23</v>
      </c>
      <c r="L105" s="162">
        <f>IF(Главная!$P$9="Дол.",AZ105,IF(Главная!$P$9="гривен.",AR105,IF(Главная!$P$9="рублей.",AK105,AR105)))</f>
        <v>2.23</v>
      </c>
      <c r="M105" s="162">
        <f>IF(Главная!$P$9="Дол.",BA105,IF(Главная!$P$9="гривен.",AS105,IF(Главная!$P$9="рублей.",AL105,AS105)))</f>
        <v>2.23</v>
      </c>
      <c r="N105" s="162">
        <f>IF(Главная!$P$9="Дол.",BB105,IF(Главная!$P$9="гривен.",AT105,IF(Главная!$P$9="рублей.",AM105,AT105)))</f>
        <v>2.23</v>
      </c>
      <c r="O105" s="162">
        <f>IF(Главная!$P$9="Дол.",BC105,IF(Главная!$P$9="гривен.",AU105,IF(Главная!$P$9="рублей.",AN105,AU105)))</f>
        <v>2.23</v>
      </c>
      <c r="P105" s="148">
        <v>6.6</v>
      </c>
      <c r="Q105" s="148">
        <v>6.4</v>
      </c>
      <c r="R105" s="148">
        <v>6.2</v>
      </c>
      <c r="S105" s="148">
        <v>6</v>
      </c>
      <c r="T105" s="148">
        <v>5.8</v>
      </c>
      <c r="U105" s="147">
        <v>5.6</v>
      </c>
      <c r="V105" s="147">
        <v>5.4</v>
      </c>
      <c r="W105" s="147">
        <v>1800</v>
      </c>
      <c r="X105" s="147">
        <v>1700</v>
      </c>
      <c r="Y105" s="147">
        <v>1650</v>
      </c>
      <c r="Z105" s="147">
        <v>1600</v>
      </c>
      <c r="AA105" s="147">
        <v>1500</v>
      </c>
      <c r="AB105" s="147">
        <v>1400</v>
      </c>
      <c r="AC105" s="147">
        <v>1300</v>
      </c>
      <c r="AD105" s="147">
        <v>1280</v>
      </c>
      <c r="AE105" s="147">
        <v>1250</v>
      </c>
      <c r="AI105" s="150" t="s">
        <v>2524</v>
      </c>
      <c r="AJ105" s="148">
        <v>9</v>
      </c>
      <c r="AK105" s="148">
        <v>8.8000000000000007</v>
      </c>
      <c r="AL105" s="148">
        <v>8.4</v>
      </c>
      <c r="AM105" s="148">
        <v>7.6</v>
      </c>
      <c r="AN105" s="148">
        <v>6.8</v>
      </c>
      <c r="AP105" s="144" t="s">
        <v>2413</v>
      </c>
      <c r="AQ105" s="141">
        <v>2.23</v>
      </c>
      <c r="AR105" s="141">
        <v>2.23</v>
      </c>
      <c r="AS105" s="141">
        <v>2.23</v>
      </c>
      <c r="AT105" s="141">
        <v>2.23</v>
      </c>
      <c r="AU105" s="141">
        <v>2.23</v>
      </c>
      <c r="AV105" s="141">
        <v>2.23</v>
      </c>
      <c r="AW105" s="141">
        <v>2.23</v>
      </c>
      <c r="AX105" s="126" t="s">
        <v>2590</v>
      </c>
    </row>
    <row r="106" spans="1:50" ht="14.5">
      <c r="A106" s="150" t="str">
        <f>IF(Главная!$P$9="Дол.",AX106,IF(Главная!$P$9="гривен.",AP106,IF(Главная!$P$9="рублей.",AI106,AP106)))</f>
        <v>Жашков</v>
      </c>
      <c r="B106" s="150">
        <v>6309887</v>
      </c>
      <c r="C106" s="149"/>
      <c r="D106" s="147"/>
      <c r="E106" s="147">
        <v>300</v>
      </c>
      <c r="F106" s="147">
        <v>400</v>
      </c>
      <c r="G106" s="147">
        <v>420</v>
      </c>
      <c r="H106" s="147">
        <v>430</v>
      </c>
      <c r="I106" s="147">
        <v>440</v>
      </c>
      <c r="J106" s="147">
        <v>11</v>
      </c>
      <c r="K106" s="162">
        <f>IF(Главная!$P$9="Дол.",AY106,IF(Главная!$P$9="гривен.",AQ106,IF(Главная!$P$9="рублей.",AJ106,AQ106)))</f>
        <v>1.21</v>
      </c>
      <c r="L106" s="162">
        <f>IF(Главная!$P$9="Дол.",AZ106,IF(Главная!$P$9="гривен.",AR106,IF(Главная!$P$9="рублей.",AK106,AR106)))</f>
        <v>1.21</v>
      </c>
      <c r="M106" s="162">
        <f>IF(Главная!$P$9="Дол.",BA106,IF(Главная!$P$9="гривен.",AS106,IF(Главная!$P$9="рублей.",AL106,AS106)))</f>
        <v>1.21</v>
      </c>
      <c r="N106" s="162">
        <f>IF(Главная!$P$9="Дол.",BB106,IF(Главная!$P$9="гривен.",AT106,IF(Главная!$P$9="рублей.",AM106,AT106)))</f>
        <v>1.21</v>
      </c>
      <c r="O106" s="162">
        <f>IF(Главная!$P$9="Дол.",BC106,IF(Главная!$P$9="гривен.",AU106,IF(Главная!$P$9="рублей.",AN106,AU106)))</f>
        <v>1.21</v>
      </c>
      <c r="P106" s="148">
        <v>9.6</v>
      </c>
      <c r="Q106" s="148">
        <v>9.4</v>
      </c>
      <c r="R106" s="148">
        <v>9.3000000000000007</v>
      </c>
      <c r="S106" s="148">
        <v>9.1999999999999993</v>
      </c>
      <c r="T106" s="148">
        <v>9.1</v>
      </c>
      <c r="U106" s="147">
        <v>9</v>
      </c>
      <c r="V106" s="147">
        <v>8.6</v>
      </c>
      <c r="W106" s="147">
        <v>2400</v>
      </c>
      <c r="X106" s="147">
        <v>2350</v>
      </c>
      <c r="Y106" s="147">
        <v>2300</v>
      </c>
      <c r="Z106" s="147">
        <v>2200</v>
      </c>
      <c r="AA106" s="147">
        <v>2100</v>
      </c>
      <c r="AB106" s="147">
        <v>2000</v>
      </c>
      <c r="AC106" s="147">
        <v>1950</v>
      </c>
      <c r="AD106" s="147">
        <v>1900</v>
      </c>
      <c r="AE106" s="147">
        <v>1850</v>
      </c>
      <c r="AI106" s="150" t="s">
        <v>2523</v>
      </c>
      <c r="AJ106" s="148">
        <v>11</v>
      </c>
      <c r="AK106" s="148">
        <v>10.8</v>
      </c>
      <c r="AL106" s="148">
        <v>10.4</v>
      </c>
      <c r="AM106" s="148">
        <v>10</v>
      </c>
      <c r="AN106" s="148">
        <v>9.8000000000000007</v>
      </c>
      <c r="AP106" s="144" t="s">
        <v>2412</v>
      </c>
      <c r="AQ106" s="141">
        <v>1.21</v>
      </c>
      <c r="AR106" s="141">
        <v>1.21</v>
      </c>
      <c r="AS106" s="141">
        <v>1.21</v>
      </c>
      <c r="AT106" s="141">
        <v>1.21</v>
      </c>
      <c r="AU106" s="141">
        <v>1.21</v>
      </c>
      <c r="AV106" s="141">
        <v>1.21</v>
      </c>
      <c r="AW106" s="141">
        <v>1.21</v>
      </c>
      <c r="AX106" s="126" t="s">
        <v>2583</v>
      </c>
    </row>
    <row r="107" spans="1:50" ht="14.5">
      <c r="A107" s="150" t="str">
        <f>IF(Главная!$P$9="Дол.",AX107,IF(Главная!$P$9="гривен.",AP107,IF(Главная!$P$9="рублей.",AI107,AP107)))</f>
        <v>Желтые Воды</v>
      </c>
      <c r="B107" s="150">
        <v>6379754</v>
      </c>
      <c r="C107" s="149"/>
      <c r="D107" s="147">
        <v>800</v>
      </c>
      <c r="E107" s="147"/>
      <c r="F107" s="147"/>
      <c r="G107" s="147"/>
      <c r="H107" s="147"/>
      <c r="I107" s="147"/>
      <c r="J107" s="147"/>
      <c r="K107" s="162">
        <f>IF(Главная!$P$9="Дол.",AY107,IF(Главная!$P$9="гривен.",AQ107,IF(Главная!$P$9="рублей.",AJ107,AQ107)))</f>
        <v>1.86</v>
      </c>
      <c r="L107" s="162">
        <f>IF(Главная!$P$9="Дол.",AZ107,IF(Главная!$P$9="гривен.",AR107,IF(Главная!$P$9="рублей.",AK107,AR107)))</f>
        <v>1.86</v>
      </c>
      <c r="M107" s="162">
        <f>IF(Главная!$P$9="Дол.",BA107,IF(Главная!$P$9="гривен.",AS107,IF(Главная!$P$9="рублей.",AL107,AS107)))</f>
        <v>1.86</v>
      </c>
      <c r="N107" s="162">
        <f>IF(Главная!$P$9="Дол.",BB107,IF(Главная!$P$9="гривен.",AT107,IF(Главная!$P$9="рублей.",AM107,AT107)))</f>
        <v>1.86</v>
      </c>
      <c r="O107" s="162">
        <f>IF(Главная!$P$9="Дол.",BC107,IF(Главная!$P$9="гривен.",AU107,IF(Главная!$P$9="рублей.",AN107,AU107)))</f>
        <v>1.86</v>
      </c>
      <c r="P107" s="148">
        <v>0.8</v>
      </c>
      <c r="Q107" s="148">
        <v>0.6</v>
      </c>
      <c r="R107" s="148">
        <v>0.6</v>
      </c>
      <c r="S107" s="148">
        <v>0.5</v>
      </c>
      <c r="T107" s="148">
        <v>0.4</v>
      </c>
      <c r="U107" s="147">
        <v>0.3</v>
      </c>
      <c r="V107" s="147">
        <v>0.3</v>
      </c>
      <c r="W107" s="147"/>
      <c r="X107" s="147">
        <v>350</v>
      </c>
      <c r="Y107" s="147">
        <v>320</v>
      </c>
      <c r="Z107" s="147">
        <v>200</v>
      </c>
      <c r="AA107" s="147">
        <v>180</v>
      </c>
      <c r="AB107" s="147">
        <v>160</v>
      </c>
      <c r="AC107" s="147">
        <v>130</v>
      </c>
      <c r="AD107" s="147">
        <v>80</v>
      </c>
      <c r="AE107" s="147">
        <v>80</v>
      </c>
      <c r="AI107" s="150" t="s">
        <v>2522</v>
      </c>
      <c r="AJ107" s="148"/>
      <c r="AK107" s="148">
        <v>1.8</v>
      </c>
      <c r="AL107" s="148">
        <v>1.4</v>
      </c>
      <c r="AM107" s="148">
        <v>1.2</v>
      </c>
      <c r="AN107" s="148">
        <v>1.1000000000000001</v>
      </c>
      <c r="AP107" s="144" t="s">
        <v>2411</v>
      </c>
      <c r="AQ107" s="141">
        <v>1.86</v>
      </c>
      <c r="AR107" s="141">
        <v>1.86</v>
      </c>
      <c r="AS107" s="141">
        <v>1.86</v>
      </c>
      <c r="AT107" s="141">
        <v>1.86</v>
      </c>
      <c r="AU107" s="141">
        <v>1.86</v>
      </c>
      <c r="AV107" s="141">
        <v>1.86</v>
      </c>
      <c r="AW107" s="141">
        <v>1.86</v>
      </c>
      <c r="AX107" s="126" t="s">
        <v>2584</v>
      </c>
    </row>
    <row r="108" spans="1:50" ht="14.5">
      <c r="A108" s="150" t="str">
        <f>IF(Главная!$P$9="Дол.",AX108,IF(Главная!$P$9="гривен.",AP108,IF(Главная!$P$9="рублей.",AI108,AP108)))</f>
        <v>Жидачов</v>
      </c>
      <c r="B108" s="150">
        <v>6308557</v>
      </c>
      <c r="C108" s="149"/>
      <c r="D108" s="147">
        <v>4550</v>
      </c>
      <c r="E108" s="147"/>
      <c r="F108" s="147"/>
      <c r="G108" s="147"/>
      <c r="H108" s="147"/>
      <c r="I108" s="147"/>
      <c r="J108" s="147"/>
      <c r="K108" s="162">
        <f>IF(Главная!$P$9="Дол.",AY108,IF(Главная!$P$9="гривен.",AQ108,IF(Главная!$P$9="рублей.",AJ108,AQ108)))</f>
        <v>2.12</v>
      </c>
      <c r="L108" s="162">
        <f>IF(Главная!$P$9="Дол.",AZ108,IF(Главная!$P$9="гривен.",AR108,IF(Главная!$P$9="рублей.",AK108,AR108)))</f>
        <v>2.12</v>
      </c>
      <c r="M108" s="162">
        <f>IF(Главная!$P$9="Дол.",BA108,IF(Главная!$P$9="гривен.",AS108,IF(Главная!$P$9="рублей.",AL108,AS108)))</f>
        <v>2.12</v>
      </c>
      <c r="N108" s="162">
        <f>IF(Главная!$P$9="Дол.",BB108,IF(Главная!$P$9="гривен.",AT108,IF(Главная!$P$9="рублей.",AM108,AT108)))</f>
        <v>2.12</v>
      </c>
      <c r="O108" s="162">
        <f>IF(Главная!$P$9="Дол.",BC108,IF(Главная!$P$9="гривен.",AU108,IF(Главная!$P$9="рублей.",AN108,AU108)))</f>
        <v>2.12</v>
      </c>
      <c r="P108" s="148">
        <v>3.5</v>
      </c>
      <c r="Q108" s="148">
        <v>2.6</v>
      </c>
      <c r="R108" s="148">
        <v>2.4</v>
      </c>
      <c r="S108" s="148">
        <v>2.1</v>
      </c>
      <c r="T108" s="148">
        <v>1.8</v>
      </c>
      <c r="U108" s="147">
        <v>1.3</v>
      </c>
      <c r="V108" s="147">
        <v>1.3</v>
      </c>
      <c r="W108" s="147"/>
      <c r="X108" s="147">
        <v>1440</v>
      </c>
      <c r="Y108" s="147">
        <v>1310</v>
      </c>
      <c r="Z108" s="147">
        <v>830</v>
      </c>
      <c r="AA108" s="147">
        <v>750</v>
      </c>
      <c r="AB108" s="147">
        <v>640</v>
      </c>
      <c r="AC108" s="147">
        <v>530</v>
      </c>
      <c r="AD108" s="147">
        <v>350</v>
      </c>
      <c r="AE108" s="147">
        <v>320</v>
      </c>
      <c r="AI108" s="150" t="s">
        <v>2521</v>
      </c>
      <c r="AJ108" s="148"/>
      <c r="AK108" s="148">
        <v>7.6</v>
      </c>
      <c r="AL108" s="148">
        <v>5.7</v>
      </c>
      <c r="AM108" s="148">
        <v>5</v>
      </c>
      <c r="AN108" s="148">
        <v>4.5999999999999996</v>
      </c>
      <c r="AP108" s="144" t="s">
        <v>2410</v>
      </c>
      <c r="AQ108" s="141">
        <v>2.12</v>
      </c>
      <c r="AR108" s="141">
        <v>2.12</v>
      </c>
      <c r="AS108" s="141">
        <v>2.12</v>
      </c>
      <c r="AT108" s="141">
        <v>2.12</v>
      </c>
      <c r="AU108" s="141">
        <v>2.12</v>
      </c>
      <c r="AV108" s="141">
        <v>2.12</v>
      </c>
      <c r="AW108" s="141">
        <v>2.12</v>
      </c>
      <c r="AX108" s="126" t="s">
        <v>2585</v>
      </c>
    </row>
    <row r="109" spans="1:50" ht="14.5">
      <c r="A109" s="150" t="str">
        <f>IF(Главная!$P$9="Дол.",AX109,IF(Главная!$P$9="гривен.",AP109,IF(Главная!$P$9="рублей.",AI109,AP109)))</f>
        <v>Житомир</v>
      </c>
      <c r="B109" s="150">
        <v>6308561</v>
      </c>
      <c r="C109" s="149"/>
      <c r="D109" s="147">
        <v>3120</v>
      </c>
      <c r="E109" s="147"/>
      <c r="F109" s="147"/>
      <c r="G109" s="147"/>
      <c r="H109" s="147"/>
      <c r="I109" s="147"/>
      <c r="J109" s="147"/>
      <c r="K109" s="162">
        <f>IF(Главная!$P$9="Дол.",AY109,IF(Главная!$P$9="гривен.",AQ109,IF(Главная!$P$9="рублей.",AJ109,AQ109)))</f>
        <v>1.86</v>
      </c>
      <c r="L109" s="162">
        <f>IF(Главная!$P$9="Дол.",AZ109,IF(Главная!$P$9="гривен.",AR109,IF(Главная!$P$9="рублей.",AK109,AR109)))</f>
        <v>1.86</v>
      </c>
      <c r="M109" s="162">
        <f>IF(Главная!$P$9="Дол.",BA109,IF(Главная!$P$9="гривен.",AS109,IF(Главная!$P$9="рублей.",AL109,AS109)))</f>
        <v>1.86</v>
      </c>
      <c r="N109" s="162">
        <f>IF(Главная!$P$9="Дол.",BB109,IF(Главная!$P$9="гривен.",AT109,IF(Главная!$P$9="рублей.",AM109,AT109)))</f>
        <v>1.86</v>
      </c>
      <c r="O109" s="162">
        <f>IF(Главная!$P$9="Дол.",BC109,IF(Главная!$P$9="гривен.",AU109,IF(Главная!$P$9="рублей.",AN109,AU109)))</f>
        <v>1.86</v>
      </c>
      <c r="P109" s="148">
        <v>2.4</v>
      </c>
      <c r="Q109" s="148">
        <v>1.8</v>
      </c>
      <c r="R109" s="148">
        <v>1.6</v>
      </c>
      <c r="S109" s="148">
        <v>1.4</v>
      </c>
      <c r="T109" s="148">
        <v>1.2</v>
      </c>
      <c r="U109" s="147">
        <v>0.9</v>
      </c>
      <c r="V109" s="147">
        <v>0.9</v>
      </c>
      <c r="W109" s="147"/>
      <c r="X109" s="147">
        <v>990</v>
      </c>
      <c r="Y109" s="147">
        <v>900</v>
      </c>
      <c r="Z109" s="147">
        <v>570</v>
      </c>
      <c r="AA109" s="147">
        <v>510</v>
      </c>
      <c r="AB109" s="147">
        <v>440</v>
      </c>
      <c r="AC109" s="147">
        <v>360</v>
      </c>
      <c r="AD109" s="147">
        <v>240</v>
      </c>
      <c r="AE109" s="147">
        <v>220</v>
      </c>
      <c r="AI109" s="150" t="s">
        <v>2520</v>
      </c>
      <c r="AJ109" s="148"/>
      <c r="AK109" s="148">
        <v>5.2</v>
      </c>
      <c r="AL109" s="148">
        <v>3.9</v>
      </c>
      <c r="AM109" s="148">
        <v>3.4</v>
      </c>
      <c r="AN109" s="148">
        <v>3.1</v>
      </c>
      <c r="AP109" s="144" t="s">
        <v>2409</v>
      </c>
      <c r="AQ109" s="141">
        <v>1.86</v>
      </c>
      <c r="AR109" s="141">
        <v>1.86</v>
      </c>
      <c r="AS109" s="141">
        <v>1.86</v>
      </c>
      <c r="AT109" s="141">
        <v>1.86</v>
      </c>
      <c r="AU109" s="141">
        <v>1.86</v>
      </c>
      <c r="AV109" s="141">
        <v>1.86</v>
      </c>
      <c r="AW109" s="141">
        <v>1.86</v>
      </c>
      <c r="AX109" s="126" t="s">
        <v>2586</v>
      </c>
    </row>
    <row r="110" spans="1:50" ht="14.5">
      <c r="A110" s="150" t="str">
        <f>IF(Главная!$P$9="Дол.",AX110,IF(Главная!$P$9="гривен.",AP110,IF(Главная!$P$9="рублей.",AI110,AP110)))</f>
        <v>Жмеринка</v>
      </c>
      <c r="B110" s="150">
        <v>6309800</v>
      </c>
      <c r="C110" s="149"/>
      <c r="D110" s="147"/>
      <c r="E110" s="147">
        <v>300</v>
      </c>
      <c r="F110" s="147">
        <v>370</v>
      </c>
      <c r="G110" s="147">
        <v>380</v>
      </c>
      <c r="H110" s="147">
        <v>390</v>
      </c>
      <c r="I110" s="147">
        <v>400</v>
      </c>
      <c r="J110" s="147">
        <v>10</v>
      </c>
      <c r="K110" s="162">
        <f>IF(Главная!$P$9="Дол.",AY110,IF(Главная!$P$9="гривен.",AQ110,IF(Главная!$P$9="рублей.",AJ110,AQ110)))</f>
        <v>2.23</v>
      </c>
      <c r="L110" s="162">
        <f>IF(Главная!$P$9="Дол.",AZ110,IF(Главная!$P$9="гривен.",AR110,IF(Главная!$P$9="рублей.",AK110,AR110)))</f>
        <v>2.23</v>
      </c>
      <c r="M110" s="162">
        <f>IF(Главная!$P$9="Дол.",BA110,IF(Главная!$P$9="гривен.",AS110,IF(Главная!$P$9="рублей.",AL110,AS110)))</f>
        <v>2.23</v>
      </c>
      <c r="N110" s="162">
        <f>IF(Главная!$P$9="Дол.",BB110,IF(Главная!$P$9="гривен.",AT110,IF(Главная!$P$9="рублей.",AM110,AT110)))</f>
        <v>2.23</v>
      </c>
      <c r="O110" s="162">
        <f>IF(Главная!$P$9="Дол.",BC110,IF(Главная!$P$9="гривен.",AU110,IF(Главная!$P$9="рублей.",AN110,AU110)))</f>
        <v>2.23</v>
      </c>
      <c r="P110" s="148">
        <v>8</v>
      </c>
      <c r="Q110" s="148">
        <v>7.8</v>
      </c>
      <c r="R110" s="148">
        <v>7.6</v>
      </c>
      <c r="S110" s="148">
        <v>7.5</v>
      </c>
      <c r="T110" s="148">
        <v>7.4</v>
      </c>
      <c r="U110" s="147">
        <v>7.2</v>
      </c>
      <c r="V110" s="147">
        <v>7</v>
      </c>
      <c r="W110" s="147">
        <v>2000</v>
      </c>
      <c r="X110" s="147">
        <v>1900</v>
      </c>
      <c r="Y110" s="147">
        <v>1850</v>
      </c>
      <c r="Z110" s="147">
        <v>1800</v>
      </c>
      <c r="AA110" s="147">
        <v>1750</v>
      </c>
      <c r="AB110" s="147">
        <v>1700</v>
      </c>
      <c r="AC110" s="147">
        <v>1680</v>
      </c>
      <c r="AD110" s="147">
        <v>1650</v>
      </c>
      <c r="AE110" s="147">
        <v>1600</v>
      </c>
      <c r="AI110" s="150" t="s">
        <v>439</v>
      </c>
      <c r="AJ110" s="148">
        <v>9</v>
      </c>
      <c r="AK110" s="148">
        <v>8.8000000000000007</v>
      </c>
      <c r="AL110" s="148">
        <v>8.6</v>
      </c>
      <c r="AM110" s="148">
        <v>8.4</v>
      </c>
      <c r="AN110" s="148">
        <v>8.1999999999999993</v>
      </c>
      <c r="AP110" s="144" t="s">
        <v>2408</v>
      </c>
      <c r="AQ110" s="141">
        <v>2.23</v>
      </c>
      <c r="AR110" s="141">
        <v>2.23</v>
      </c>
      <c r="AS110" s="141">
        <v>2.23</v>
      </c>
      <c r="AT110" s="141">
        <v>2.23</v>
      </c>
      <c r="AU110" s="141">
        <v>2.23</v>
      </c>
      <c r="AV110" s="141">
        <v>2.23</v>
      </c>
      <c r="AW110" s="141">
        <v>2.23</v>
      </c>
      <c r="AX110" s="126" t="s">
        <v>2587</v>
      </c>
    </row>
    <row r="111" spans="1:50" ht="14.5">
      <c r="A111" s="150" t="str">
        <f>IF(Главная!$P$9="Дол.",AX111,IF(Главная!$P$9="гривен.",AP111,IF(Главная!$P$9="рублей.",AI111,AP111)))</f>
        <v>Запорожье</v>
      </c>
      <c r="B111" s="150">
        <v>6309593</v>
      </c>
      <c r="C111" s="149"/>
      <c r="D111" s="147"/>
      <c r="E111" s="147">
        <v>290</v>
      </c>
      <c r="F111" s="147">
        <v>300</v>
      </c>
      <c r="G111" s="147">
        <v>310</v>
      </c>
      <c r="H111" s="147">
        <v>320</v>
      </c>
      <c r="I111" s="147">
        <v>330</v>
      </c>
      <c r="J111" s="147">
        <v>8.1999999999999993</v>
      </c>
      <c r="K111" s="162">
        <f>IF(Главная!$P$9="Дол.",AY111,IF(Главная!$P$9="гривен.",AQ111,IF(Главная!$P$9="рублей.",AJ111,AQ111)))</f>
        <v>1.47</v>
      </c>
      <c r="L111" s="162">
        <f>IF(Главная!$P$9="Дол.",AZ111,IF(Главная!$P$9="гривен.",AR111,IF(Главная!$P$9="рублей.",AK111,AR111)))</f>
        <v>1.47</v>
      </c>
      <c r="M111" s="162">
        <f>IF(Главная!$P$9="Дол.",BA111,IF(Главная!$P$9="гривен.",AS111,IF(Главная!$P$9="рублей.",AL111,AS111)))</f>
        <v>1.47</v>
      </c>
      <c r="N111" s="162">
        <f>IF(Главная!$P$9="Дол.",BB111,IF(Главная!$P$9="гривен.",AT111,IF(Главная!$P$9="рублей.",AM111,AT111)))</f>
        <v>1.47</v>
      </c>
      <c r="O111" s="162">
        <f>IF(Главная!$P$9="Дол.",BC111,IF(Главная!$P$9="гривен.",AU111,IF(Главная!$P$9="рублей.",AN111,AU111)))</f>
        <v>1.47</v>
      </c>
      <c r="P111" s="148">
        <v>6.8</v>
      </c>
      <c r="Q111" s="148">
        <v>6.4</v>
      </c>
      <c r="R111" s="148">
        <v>6.2</v>
      </c>
      <c r="S111" s="148">
        <v>6.1</v>
      </c>
      <c r="T111" s="148">
        <v>6</v>
      </c>
      <c r="U111" s="147">
        <v>5.6</v>
      </c>
      <c r="V111" s="147">
        <v>5.4</v>
      </c>
      <c r="W111" s="147">
        <v>2000</v>
      </c>
      <c r="X111" s="147">
        <v>1900</v>
      </c>
      <c r="Y111" s="147">
        <v>1800</v>
      </c>
      <c r="Z111" s="147">
        <v>1700</v>
      </c>
      <c r="AA111" s="147">
        <v>1600</v>
      </c>
      <c r="AB111" s="147">
        <v>1500</v>
      </c>
      <c r="AC111" s="147">
        <v>1400</v>
      </c>
      <c r="AD111" s="147">
        <v>1350</v>
      </c>
      <c r="AE111" s="147">
        <v>1300</v>
      </c>
      <c r="AG111" s="153"/>
      <c r="AH111" s="152"/>
      <c r="AI111" s="150" t="s">
        <v>2519</v>
      </c>
      <c r="AJ111" s="148">
        <v>7.8</v>
      </c>
      <c r="AK111" s="148">
        <v>7.6</v>
      </c>
      <c r="AL111" s="148">
        <v>7.4</v>
      </c>
      <c r="AM111" s="148">
        <v>7.2</v>
      </c>
      <c r="AN111" s="148">
        <v>7</v>
      </c>
      <c r="AP111" s="144" t="s">
        <v>2407</v>
      </c>
      <c r="AQ111" s="141">
        <v>1.47</v>
      </c>
      <c r="AR111" s="141">
        <v>1.47</v>
      </c>
      <c r="AS111" s="141">
        <v>1.47</v>
      </c>
      <c r="AT111" s="141">
        <v>1.47</v>
      </c>
      <c r="AU111" s="141">
        <v>1.47</v>
      </c>
      <c r="AV111" s="141">
        <v>1.47</v>
      </c>
      <c r="AW111" s="141">
        <v>1.47</v>
      </c>
      <c r="AX111" s="126" t="s">
        <v>2588</v>
      </c>
    </row>
    <row r="112" spans="1:50" ht="14.5">
      <c r="A112" s="150" t="str">
        <f>IF(Главная!$P$9="Дол.",AX112,IF(Главная!$P$9="гривен.",AP112,IF(Главная!$P$9="рублей.",AI112,AP112)))</f>
        <v>Звенигородка</v>
      </c>
      <c r="B112" s="150">
        <v>6309774</v>
      </c>
      <c r="C112" s="151" t="s">
        <v>2513</v>
      </c>
      <c r="D112" s="147"/>
      <c r="E112" s="147">
        <v>290</v>
      </c>
      <c r="F112" s="147">
        <v>300</v>
      </c>
      <c r="G112" s="147">
        <v>310</v>
      </c>
      <c r="H112" s="147">
        <v>320</v>
      </c>
      <c r="I112" s="147">
        <v>330</v>
      </c>
      <c r="J112" s="147">
        <v>8.1999999999999993</v>
      </c>
      <c r="K112" s="162">
        <f>IF(Главная!$P$9="Дол.",AY112,IF(Главная!$P$9="гривен.",AQ112,IF(Главная!$P$9="рублей.",AJ112,AQ112)))</f>
        <v>1.21</v>
      </c>
      <c r="L112" s="162">
        <f>IF(Главная!$P$9="Дол.",AZ112,IF(Главная!$P$9="гривен.",AR112,IF(Главная!$P$9="рублей.",AK112,AR112)))</f>
        <v>1.21</v>
      </c>
      <c r="M112" s="162">
        <f>IF(Главная!$P$9="Дол.",BA112,IF(Главная!$P$9="гривен.",AS112,IF(Главная!$P$9="рублей.",AL112,AS112)))</f>
        <v>1.21</v>
      </c>
      <c r="N112" s="162">
        <f>IF(Главная!$P$9="Дол.",BB112,IF(Главная!$P$9="гривен.",AT112,IF(Главная!$P$9="рублей.",AM112,AT112)))</f>
        <v>1.21</v>
      </c>
      <c r="O112" s="162">
        <f>IF(Главная!$P$9="Дол.",BC112,IF(Главная!$P$9="гривен.",AU112,IF(Главная!$P$9="рублей.",AN112,AU112)))</f>
        <v>1.21</v>
      </c>
      <c r="P112" s="148">
        <v>5</v>
      </c>
      <c r="Q112" s="148">
        <v>4.8</v>
      </c>
      <c r="R112" s="148">
        <v>4.5999999999999996</v>
      </c>
      <c r="S112" s="148">
        <v>4.4000000000000004</v>
      </c>
      <c r="T112" s="148">
        <v>4</v>
      </c>
      <c r="U112" s="147">
        <v>3.8</v>
      </c>
      <c r="V112" s="147">
        <v>3.5</v>
      </c>
      <c r="W112" s="147">
        <v>1400</v>
      </c>
      <c r="X112" s="147">
        <v>1350</v>
      </c>
      <c r="Y112" s="147">
        <v>1300</v>
      </c>
      <c r="Z112" s="147">
        <v>1250</v>
      </c>
      <c r="AA112" s="147">
        <v>1200</v>
      </c>
      <c r="AB112" s="147">
        <v>1100</v>
      </c>
      <c r="AC112" s="147">
        <v>1000</v>
      </c>
      <c r="AD112" s="147">
        <v>950</v>
      </c>
      <c r="AE112" s="147">
        <v>900</v>
      </c>
      <c r="AG112" s="153"/>
      <c r="AH112" s="152"/>
      <c r="AI112" s="150" t="s">
        <v>426</v>
      </c>
      <c r="AJ112" s="148">
        <v>6.2</v>
      </c>
      <c r="AK112" s="148">
        <v>6</v>
      </c>
      <c r="AL112" s="148">
        <v>5.6</v>
      </c>
      <c r="AM112" s="148">
        <v>5.2</v>
      </c>
      <c r="AN112" s="148">
        <v>5.0999999999999996</v>
      </c>
      <c r="AP112" s="144" t="s">
        <v>2406</v>
      </c>
      <c r="AQ112" s="141">
        <v>1.21</v>
      </c>
      <c r="AR112" s="141">
        <v>1.21</v>
      </c>
      <c r="AS112" s="141">
        <v>1.21</v>
      </c>
      <c r="AT112" s="141">
        <v>1.21</v>
      </c>
      <c r="AU112" s="141">
        <v>1.21</v>
      </c>
      <c r="AV112" s="141">
        <v>1.21</v>
      </c>
      <c r="AW112" s="141">
        <v>1.21</v>
      </c>
      <c r="AX112" s="126" t="s">
        <v>2589</v>
      </c>
    </row>
    <row r="113" spans="1:50" ht="14.5">
      <c r="A113" s="150" t="str">
        <f>IF(Главная!$P$9="Дол.",AX113,IF(Главная!$P$9="гривен.",AP113,IF(Главная!$P$9="рублей.",AI113,AP113)))</f>
        <v>Зеленодольск</v>
      </c>
      <c r="B113" s="150">
        <v>6308052</v>
      </c>
      <c r="C113" s="149"/>
      <c r="D113" s="147"/>
      <c r="E113" s="147">
        <v>300</v>
      </c>
      <c r="F113" s="147">
        <v>400</v>
      </c>
      <c r="G113" s="147">
        <v>600</v>
      </c>
      <c r="H113" s="147">
        <v>730</v>
      </c>
      <c r="I113" s="147">
        <v>740</v>
      </c>
      <c r="J113" s="147">
        <v>18.5</v>
      </c>
      <c r="K113" s="162">
        <f>IF(Главная!$P$9="Дол.",AY113,IF(Главная!$P$9="гривен.",AQ113,IF(Главная!$P$9="рублей.",AJ113,AQ113)))</f>
        <v>1.86</v>
      </c>
      <c r="L113" s="162">
        <f>IF(Главная!$P$9="Дол.",AZ113,IF(Главная!$P$9="гривен.",AR113,IF(Главная!$P$9="рублей.",AK113,AR113)))</f>
        <v>1.86</v>
      </c>
      <c r="M113" s="162">
        <f>IF(Главная!$P$9="Дол.",BA113,IF(Главная!$P$9="гривен.",AS113,IF(Главная!$P$9="рублей.",AL113,AS113)))</f>
        <v>1.86</v>
      </c>
      <c r="N113" s="162">
        <f>IF(Главная!$P$9="Дол.",BB113,IF(Главная!$P$9="гривен.",AT113,IF(Главная!$P$9="рублей.",AM113,AT113)))</f>
        <v>1.86</v>
      </c>
      <c r="O113" s="162">
        <f>IF(Главная!$P$9="Дол.",BC113,IF(Главная!$P$9="гривен.",AU113,IF(Главная!$P$9="рублей.",AN113,AU113)))</f>
        <v>1.86</v>
      </c>
      <c r="P113" s="148">
        <v>17.100000000000001</v>
      </c>
      <c r="Q113" s="148">
        <v>16.899999999999999</v>
      </c>
      <c r="R113" s="148">
        <v>16.7</v>
      </c>
      <c r="S113" s="148">
        <v>16.5</v>
      </c>
      <c r="T113" s="148">
        <v>16.3</v>
      </c>
      <c r="U113" s="147">
        <v>16.100000000000001</v>
      </c>
      <c r="V113" s="147">
        <v>15.7</v>
      </c>
      <c r="W113" s="147">
        <v>4150</v>
      </c>
      <c r="X113" s="147">
        <v>4050</v>
      </c>
      <c r="Y113" s="147">
        <v>3950</v>
      </c>
      <c r="Z113" s="147">
        <v>3850</v>
      </c>
      <c r="AA113" s="147">
        <v>3800</v>
      </c>
      <c r="AB113" s="147">
        <v>3750</v>
      </c>
      <c r="AC113" s="147">
        <v>3700</v>
      </c>
      <c r="AD113" s="147">
        <v>3700</v>
      </c>
      <c r="AE113" s="147">
        <v>3700</v>
      </c>
      <c r="AG113" s="153"/>
      <c r="AH113" s="152"/>
      <c r="AI113" s="150" t="s">
        <v>375</v>
      </c>
      <c r="AJ113" s="148">
        <v>18.5</v>
      </c>
      <c r="AK113" s="148">
        <v>18.3</v>
      </c>
      <c r="AL113" s="148">
        <v>18</v>
      </c>
      <c r="AM113" s="148">
        <v>17.5</v>
      </c>
      <c r="AN113" s="148">
        <v>17.3</v>
      </c>
      <c r="AP113" s="144" t="s">
        <v>2405</v>
      </c>
      <c r="AQ113" s="141">
        <v>1.86</v>
      </c>
      <c r="AR113" s="141">
        <v>1.86</v>
      </c>
      <c r="AS113" s="141">
        <v>1.86</v>
      </c>
      <c r="AT113" s="141">
        <v>1.86</v>
      </c>
      <c r="AU113" s="141">
        <v>1.86</v>
      </c>
      <c r="AV113" s="141">
        <v>1.86</v>
      </c>
      <c r="AW113" s="141">
        <v>1.86</v>
      </c>
      <c r="AX113" s="126" t="s">
        <v>2590</v>
      </c>
    </row>
    <row r="114" spans="1:50" ht="14.5">
      <c r="A114" s="150" t="str">
        <f>IF(Главная!$P$9="Дол.",AX114,IF(Главная!$P$9="гривен.",AP114,IF(Главная!$P$9="рублей.",AI114,AP114)))</f>
        <v>Зеньков</v>
      </c>
      <c r="B114" s="150">
        <v>6309799</v>
      </c>
      <c r="C114" s="149"/>
      <c r="D114" s="147"/>
      <c r="E114" s="147">
        <v>290</v>
      </c>
      <c r="F114" s="147">
        <v>300</v>
      </c>
      <c r="G114" s="147">
        <v>310</v>
      </c>
      <c r="H114" s="147">
        <v>320</v>
      </c>
      <c r="I114" s="147">
        <v>330</v>
      </c>
      <c r="J114" s="147">
        <v>8.1999999999999993</v>
      </c>
      <c r="K114" s="162">
        <f>IF(Главная!$P$9="Дол.",AY114,IF(Главная!$P$9="гривен.",AQ114,IF(Главная!$P$9="рублей.",AJ114,AQ114)))</f>
        <v>1.21</v>
      </c>
      <c r="L114" s="162">
        <f>IF(Главная!$P$9="Дол.",AZ114,IF(Главная!$P$9="гривен.",AR114,IF(Главная!$P$9="рублей.",AK114,AR114)))</f>
        <v>1.21</v>
      </c>
      <c r="M114" s="162">
        <f>IF(Главная!$P$9="Дол.",BA114,IF(Главная!$P$9="гривен.",AS114,IF(Главная!$P$9="рублей.",AL114,AS114)))</f>
        <v>1.21</v>
      </c>
      <c r="N114" s="162">
        <f>IF(Главная!$P$9="Дол.",BB114,IF(Главная!$P$9="гривен.",AT114,IF(Главная!$P$9="рублей.",AM114,AT114)))</f>
        <v>1.21</v>
      </c>
      <c r="O114" s="162">
        <f>IF(Главная!$P$9="Дол.",BC114,IF(Главная!$P$9="гривен.",AU114,IF(Главная!$P$9="рублей.",AN114,AU114)))</f>
        <v>1.21</v>
      </c>
      <c r="P114" s="148">
        <v>6</v>
      </c>
      <c r="Q114" s="148">
        <v>5.8</v>
      </c>
      <c r="R114" s="148">
        <v>5.6</v>
      </c>
      <c r="S114" s="148">
        <v>5.5</v>
      </c>
      <c r="T114" s="148">
        <v>5.4</v>
      </c>
      <c r="U114" s="147">
        <v>5.3</v>
      </c>
      <c r="V114" s="147">
        <v>5.2</v>
      </c>
      <c r="W114" s="147">
        <v>1500</v>
      </c>
      <c r="X114" s="147">
        <v>1400</v>
      </c>
      <c r="Y114" s="147">
        <v>1350</v>
      </c>
      <c r="Z114" s="147">
        <v>1300</v>
      </c>
      <c r="AA114" s="147">
        <v>1260</v>
      </c>
      <c r="AB114" s="147">
        <v>1240</v>
      </c>
      <c r="AC114" s="147">
        <v>1200</v>
      </c>
      <c r="AD114" s="147">
        <v>1100</v>
      </c>
      <c r="AE114" s="147">
        <v>1000</v>
      </c>
      <c r="AG114" s="153"/>
      <c r="AH114" s="152"/>
      <c r="AI114" s="150" t="s">
        <v>372</v>
      </c>
      <c r="AJ114" s="148">
        <v>7.5</v>
      </c>
      <c r="AK114" s="148">
        <v>7</v>
      </c>
      <c r="AL114" s="148">
        <v>6.4</v>
      </c>
      <c r="AM114" s="148">
        <v>6.2</v>
      </c>
      <c r="AN114" s="148">
        <v>6.1</v>
      </c>
      <c r="AP114" s="144" t="s">
        <v>2404</v>
      </c>
      <c r="AQ114" s="141">
        <v>1.21</v>
      </c>
      <c r="AR114" s="141">
        <v>1.21</v>
      </c>
      <c r="AS114" s="141">
        <v>1.21</v>
      </c>
      <c r="AT114" s="141">
        <v>1.21</v>
      </c>
      <c r="AU114" s="141">
        <v>1.21</v>
      </c>
      <c r="AV114" s="141">
        <v>1.21</v>
      </c>
      <c r="AW114" s="141">
        <v>1.21</v>
      </c>
      <c r="AX114" s="126" t="s">
        <v>2583</v>
      </c>
    </row>
    <row r="115" spans="1:50" ht="14.5">
      <c r="A115" s="150" t="str">
        <f>IF(Главная!$P$9="Дол.",AX115,IF(Главная!$P$9="гривен.",AP115,IF(Главная!$P$9="рублей.",AI115,AP115)))</f>
        <v>Змиёв</v>
      </c>
      <c r="B115" s="150">
        <v>6307301</v>
      </c>
      <c r="C115" s="149"/>
      <c r="D115" s="147"/>
      <c r="E115" s="147">
        <v>300</v>
      </c>
      <c r="F115" s="147">
        <v>400</v>
      </c>
      <c r="G115" s="147">
        <v>460</v>
      </c>
      <c r="H115" s="147">
        <v>470</v>
      </c>
      <c r="I115" s="147">
        <v>480</v>
      </c>
      <c r="J115" s="147">
        <v>12</v>
      </c>
      <c r="K115" s="162">
        <f>IF(Главная!$P$9="Дол.",AY115,IF(Главная!$P$9="гривен.",AQ115,IF(Главная!$P$9="рублей.",AJ115,AQ115)))</f>
        <v>1.21</v>
      </c>
      <c r="L115" s="162">
        <f>IF(Главная!$P$9="Дол.",AZ115,IF(Главная!$P$9="гривен.",AR115,IF(Главная!$P$9="рублей.",AK115,AR115)))</f>
        <v>1.21</v>
      </c>
      <c r="M115" s="162">
        <f>IF(Главная!$P$9="Дол.",BA115,IF(Главная!$P$9="гривен.",AS115,IF(Главная!$P$9="рублей.",AL115,AS115)))</f>
        <v>1.21</v>
      </c>
      <c r="N115" s="162">
        <f>IF(Главная!$P$9="Дол.",BB115,IF(Главная!$P$9="гривен.",AT115,IF(Главная!$P$9="рублей.",AM115,AT115)))</f>
        <v>1.21</v>
      </c>
      <c r="O115" s="162">
        <f>IF(Главная!$P$9="Дол.",BC115,IF(Главная!$P$9="гривен.",AU115,IF(Главная!$P$9="рублей.",AN115,AU115)))</f>
        <v>1.21</v>
      </c>
      <c r="P115" s="148">
        <v>11.2</v>
      </c>
      <c r="Q115" s="148">
        <v>11</v>
      </c>
      <c r="R115" s="148">
        <v>10.8</v>
      </c>
      <c r="S115" s="148">
        <v>10.6</v>
      </c>
      <c r="T115" s="148">
        <v>10.4</v>
      </c>
      <c r="U115" s="147">
        <v>10.3</v>
      </c>
      <c r="V115" s="147">
        <v>10.199999999999999</v>
      </c>
      <c r="W115" s="147">
        <v>2800</v>
      </c>
      <c r="X115" s="147">
        <v>2700</v>
      </c>
      <c r="Y115" s="147">
        <v>2600</v>
      </c>
      <c r="Z115" s="147">
        <v>2500</v>
      </c>
      <c r="AA115" s="147">
        <v>2400</v>
      </c>
      <c r="AB115" s="147">
        <v>2300</v>
      </c>
      <c r="AC115" s="147">
        <v>2250</v>
      </c>
      <c r="AD115" s="147">
        <v>2200</v>
      </c>
      <c r="AE115" s="147">
        <v>2150</v>
      </c>
      <c r="AG115" s="153"/>
      <c r="AH115" s="152"/>
      <c r="AI115" s="150" t="s">
        <v>353</v>
      </c>
      <c r="AJ115" s="148">
        <v>12</v>
      </c>
      <c r="AK115" s="148">
        <v>11.9</v>
      </c>
      <c r="AL115" s="148">
        <v>11.8</v>
      </c>
      <c r="AM115" s="148">
        <v>11.6</v>
      </c>
      <c r="AN115" s="148">
        <v>11.4</v>
      </c>
      <c r="AP115" s="144" t="s">
        <v>2403</v>
      </c>
      <c r="AQ115" s="141">
        <v>1.21</v>
      </c>
      <c r="AR115" s="141">
        <v>1.21</v>
      </c>
      <c r="AS115" s="141">
        <v>1.21</v>
      </c>
      <c r="AT115" s="141">
        <v>1.21</v>
      </c>
      <c r="AU115" s="141">
        <v>1.21</v>
      </c>
      <c r="AV115" s="141">
        <v>1.21</v>
      </c>
      <c r="AW115" s="141">
        <v>1.21</v>
      </c>
      <c r="AX115" s="126" t="s">
        <v>2584</v>
      </c>
    </row>
    <row r="116" spans="1:50" ht="14.5">
      <c r="A116" s="150" t="str">
        <f>IF(Главная!$P$9="Дол.",AX116,IF(Главная!$P$9="гривен.",AP116,IF(Главная!$P$9="рублей.",AI116,AP116)))</f>
        <v>Знаменка</v>
      </c>
      <c r="B116" s="150">
        <v>6309806</v>
      </c>
      <c r="C116" s="151" t="s">
        <v>2513</v>
      </c>
      <c r="D116" s="147"/>
      <c r="E116" s="147">
        <v>290</v>
      </c>
      <c r="F116" s="147">
        <v>300</v>
      </c>
      <c r="G116" s="147">
        <v>310</v>
      </c>
      <c r="H116" s="147">
        <v>320</v>
      </c>
      <c r="I116" s="147">
        <v>330</v>
      </c>
      <c r="J116" s="147">
        <v>8.1999999999999993</v>
      </c>
      <c r="K116" s="162">
        <f>IF(Главная!$P$9="Дол.",AY116,IF(Главная!$P$9="гривен.",AQ116,IF(Главная!$P$9="рублей.",AJ116,AQ116)))</f>
        <v>1.74</v>
      </c>
      <c r="L116" s="162">
        <f>IF(Главная!$P$9="Дол.",AZ116,IF(Главная!$P$9="гривен.",AR116,IF(Главная!$P$9="рублей.",AK116,AR116)))</f>
        <v>1.74</v>
      </c>
      <c r="M116" s="162">
        <f>IF(Главная!$P$9="Дол.",BA116,IF(Главная!$P$9="гривен.",AS116,IF(Главная!$P$9="рублей.",AL116,AS116)))</f>
        <v>1.74</v>
      </c>
      <c r="N116" s="162">
        <f>IF(Главная!$P$9="Дол.",BB116,IF(Главная!$P$9="гривен.",AT116,IF(Главная!$P$9="рублей.",AM116,AT116)))</f>
        <v>1.74</v>
      </c>
      <c r="O116" s="162">
        <f>IF(Главная!$P$9="Дол.",BC116,IF(Главная!$P$9="гривен.",AU116,IF(Главная!$P$9="рублей.",AN116,AU116)))</f>
        <v>1.74</v>
      </c>
      <c r="P116" s="148">
        <v>6.8</v>
      </c>
      <c r="Q116" s="148">
        <v>6.4</v>
      </c>
      <c r="R116" s="148">
        <v>6.2</v>
      </c>
      <c r="S116" s="148">
        <v>6.1</v>
      </c>
      <c r="T116" s="148">
        <v>6</v>
      </c>
      <c r="U116" s="147">
        <v>5.6</v>
      </c>
      <c r="V116" s="147">
        <v>5.4</v>
      </c>
      <c r="W116" s="147">
        <v>2000</v>
      </c>
      <c r="X116" s="147">
        <v>1900</v>
      </c>
      <c r="Y116" s="147">
        <v>1800</v>
      </c>
      <c r="Z116" s="147">
        <v>1700</v>
      </c>
      <c r="AA116" s="147">
        <v>1600</v>
      </c>
      <c r="AB116" s="147">
        <v>1500</v>
      </c>
      <c r="AC116" s="147">
        <v>1400</v>
      </c>
      <c r="AD116" s="147">
        <v>1350</v>
      </c>
      <c r="AE116" s="147">
        <v>1300</v>
      </c>
      <c r="AG116" s="153"/>
      <c r="AH116" s="152"/>
      <c r="AI116" s="150" t="s">
        <v>349</v>
      </c>
      <c r="AJ116" s="148">
        <v>7.8</v>
      </c>
      <c r="AK116" s="148">
        <v>7.6</v>
      </c>
      <c r="AL116" s="148">
        <v>7.4</v>
      </c>
      <c r="AM116" s="148">
        <v>7.2</v>
      </c>
      <c r="AN116" s="148">
        <v>7</v>
      </c>
      <c r="AP116" s="144" t="s">
        <v>2402</v>
      </c>
      <c r="AQ116" s="141">
        <v>1.74</v>
      </c>
      <c r="AR116" s="141">
        <v>1.74</v>
      </c>
      <c r="AS116" s="141">
        <v>1.74</v>
      </c>
      <c r="AT116" s="141">
        <v>1.74</v>
      </c>
      <c r="AU116" s="141">
        <v>1.74</v>
      </c>
      <c r="AV116" s="141">
        <v>1.74</v>
      </c>
      <c r="AW116" s="141">
        <v>1.74</v>
      </c>
      <c r="AX116" s="126" t="s">
        <v>2585</v>
      </c>
    </row>
    <row r="117" spans="1:50" ht="14.5">
      <c r="A117" s="150" t="str">
        <f>IF(Главная!$P$9="Дол.",AX117,IF(Главная!$P$9="гривен.",AP117,IF(Главная!$P$9="рублей.",AI117,AP117)))</f>
        <v>Золотоноша</v>
      </c>
      <c r="B117" s="150">
        <v>6489582</v>
      </c>
      <c r="C117" s="149"/>
      <c r="D117" s="147"/>
      <c r="E117" s="147">
        <v>600</v>
      </c>
      <c r="F117" s="147">
        <v>800</v>
      </c>
      <c r="G117" s="147">
        <v>1000</v>
      </c>
      <c r="H117" s="147">
        <v>1010</v>
      </c>
      <c r="I117" s="147">
        <v>1020</v>
      </c>
      <c r="J117" s="147">
        <v>25.4</v>
      </c>
      <c r="K117" s="162">
        <f>IF(Главная!$P$9="Дол.",AY117,IF(Главная!$P$9="гривен.",AQ117,IF(Главная!$P$9="рублей.",AJ117,AQ117)))</f>
        <v>1.21</v>
      </c>
      <c r="L117" s="162">
        <f>IF(Главная!$P$9="Дол.",AZ117,IF(Главная!$P$9="гривен.",AR117,IF(Главная!$P$9="рублей.",AK117,AR117)))</f>
        <v>1.21</v>
      </c>
      <c r="M117" s="162">
        <f>IF(Главная!$P$9="Дол.",BA117,IF(Главная!$P$9="гривен.",AS117,IF(Главная!$P$9="рублей.",AL117,AS117)))</f>
        <v>1.21</v>
      </c>
      <c r="N117" s="162">
        <f>IF(Главная!$P$9="Дол.",BB117,IF(Главная!$P$9="гривен.",AT117,IF(Главная!$P$9="рублей.",AM117,AT117)))</f>
        <v>1.21</v>
      </c>
      <c r="O117" s="162">
        <f>IF(Главная!$P$9="Дол.",BC117,IF(Главная!$P$9="гривен.",AU117,IF(Главная!$P$9="рублей.",AN117,AU117)))</f>
        <v>1.21</v>
      </c>
      <c r="P117" s="148">
        <v>17.7</v>
      </c>
      <c r="Q117" s="148">
        <v>17.3</v>
      </c>
      <c r="R117" s="148">
        <v>16.899999999999999</v>
      </c>
      <c r="S117" s="148">
        <v>16.5</v>
      </c>
      <c r="T117" s="148">
        <v>16</v>
      </c>
      <c r="U117" s="147">
        <v>15.5</v>
      </c>
      <c r="V117" s="147">
        <v>15</v>
      </c>
      <c r="W117" s="147">
        <v>4600</v>
      </c>
      <c r="X117" s="147">
        <v>4480</v>
      </c>
      <c r="Y117" s="147">
        <v>4320</v>
      </c>
      <c r="Z117" s="147">
        <v>4160</v>
      </c>
      <c r="AA117" s="147">
        <v>4000</v>
      </c>
      <c r="AB117" s="147">
        <v>3850</v>
      </c>
      <c r="AC117" s="147">
        <v>3700</v>
      </c>
      <c r="AD117" s="147">
        <v>3630</v>
      </c>
      <c r="AE117" s="147">
        <v>3550</v>
      </c>
      <c r="AG117" s="153"/>
      <c r="AH117" s="152"/>
      <c r="AI117" s="150" t="s">
        <v>2518</v>
      </c>
      <c r="AJ117" s="148">
        <v>21.4</v>
      </c>
      <c r="AK117" s="148">
        <v>20.2</v>
      </c>
      <c r="AL117" s="148">
        <v>19.5</v>
      </c>
      <c r="AM117" s="148">
        <v>18.8</v>
      </c>
      <c r="AN117" s="148">
        <v>18.100000000000001</v>
      </c>
      <c r="AP117" s="144" t="s">
        <v>2401</v>
      </c>
      <c r="AQ117" s="141">
        <v>1.21</v>
      </c>
      <c r="AR117" s="141">
        <v>1.21</v>
      </c>
      <c r="AS117" s="141">
        <v>1.21</v>
      </c>
      <c r="AT117" s="141">
        <v>1.21</v>
      </c>
      <c r="AU117" s="141">
        <v>1.21</v>
      </c>
      <c r="AV117" s="141">
        <v>1.21</v>
      </c>
      <c r="AW117" s="141">
        <v>1.21</v>
      </c>
      <c r="AX117" s="126" t="s">
        <v>2586</v>
      </c>
    </row>
    <row r="118" spans="1:50" ht="21">
      <c r="A118" s="150" t="str">
        <f>IF(Главная!$P$9="Дол.",AX118,IF(Главная!$P$9="гривен.",AP118,IF(Главная!$P$9="рублей.",AI118,AP118)))</f>
        <v>Золочев</v>
      </c>
      <c r="B118" s="150">
        <v>6308460</v>
      </c>
      <c r="C118" s="149"/>
      <c r="D118" s="147"/>
      <c r="E118" s="147">
        <v>300</v>
      </c>
      <c r="F118" s="147">
        <v>400</v>
      </c>
      <c r="G118" s="147">
        <v>600</v>
      </c>
      <c r="H118" s="147">
        <v>710</v>
      </c>
      <c r="I118" s="147">
        <v>720</v>
      </c>
      <c r="J118" s="147">
        <v>18</v>
      </c>
      <c r="K118" s="162">
        <f>IF(Главная!$P$9="Дол.",AY118,IF(Главная!$P$9="гривен.",AQ118,IF(Главная!$P$9="рублей.",AJ118,AQ118)))</f>
        <v>2.12</v>
      </c>
      <c r="L118" s="162">
        <f>IF(Главная!$P$9="Дол.",AZ118,IF(Главная!$P$9="гривен.",AR118,IF(Главная!$P$9="рублей.",AK118,AR118)))</f>
        <v>2.12</v>
      </c>
      <c r="M118" s="162">
        <f>IF(Главная!$P$9="Дол.",BA118,IF(Главная!$P$9="гривен.",AS118,IF(Главная!$P$9="рублей.",AL118,AS118)))</f>
        <v>2.12</v>
      </c>
      <c r="N118" s="162">
        <f>IF(Главная!$P$9="Дол.",BB118,IF(Главная!$P$9="гривен.",AT118,IF(Главная!$P$9="рублей.",AM118,AT118)))</f>
        <v>2.12</v>
      </c>
      <c r="O118" s="162">
        <f>IF(Главная!$P$9="Дол.",BC118,IF(Главная!$P$9="гривен.",AU118,IF(Главная!$P$9="рублей.",AN118,AU118)))</f>
        <v>2.12</v>
      </c>
      <c r="P118" s="148">
        <v>15</v>
      </c>
      <c r="Q118" s="148">
        <v>14.5</v>
      </c>
      <c r="R118" s="148">
        <v>14</v>
      </c>
      <c r="S118" s="148">
        <v>13.8</v>
      </c>
      <c r="T118" s="148">
        <v>13.6</v>
      </c>
      <c r="U118" s="147">
        <v>13.4</v>
      </c>
      <c r="V118" s="147">
        <v>13.2</v>
      </c>
      <c r="W118" s="147">
        <v>3600</v>
      </c>
      <c r="X118" s="147">
        <v>3500</v>
      </c>
      <c r="Y118" s="147">
        <v>3400</v>
      </c>
      <c r="Z118" s="147">
        <v>3300</v>
      </c>
      <c r="AA118" s="147">
        <v>3200</v>
      </c>
      <c r="AB118" s="147">
        <v>3100</v>
      </c>
      <c r="AC118" s="147">
        <v>3000</v>
      </c>
      <c r="AD118" s="147">
        <v>2900</v>
      </c>
      <c r="AE118" s="147">
        <v>2800</v>
      </c>
      <c r="AG118" s="153"/>
      <c r="AH118" s="152"/>
      <c r="AI118" s="150" t="s">
        <v>2517</v>
      </c>
      <c r="AJ118" s="148">
        <v>17</v>
      </c>
      <c r="AK118" s="148">
        <v>16.8</v>
      </c>
      <c r="AL118" s="148">
        <v>16.399999999999999</v>
      </c>
      <c r="AM118" s="148">
        <v>16</v>
      </c>
      <c r="AN118" s="148">
        <v>15.5</v>
      </c>
      <c r="AP118" s="144" t="s">
        <v>2400</v>
      </c>
      <c r="AQ118" s="141">
        <v>2.12</v>
      </c>
      <c r="AR118" s="141">
        <v>2.12</v>
      </c>
      <c r="AS118" s="141">
        <v>2.12</v>
      </c>
      <c r="AT118" s="141">
        <v>2.12</v>
      </c>
      <c r="AU118" s="141">
        <v>2.12</v>
      </c>
      <c r="AV118" s="141">
        <v>2.12</v>
      </c>
      <c r="AW118" s="141">
        <v>2.12</v>
      </c>
      <c r="AX118" s="126" t="s">
        <v>2587</v>
      </c>
    </row>
    <row r="119" spans="1:50" ht="31.5">
      <c r="A119" s="150" t="str">
        <f>IF(Главная!$P$9="Дол.",AX119,IF(Главная!$P$9="гривен.",AP119,IF(Главная!$P$9="рублей.",AI119,AP119)))</f>
        <v>Ивано-Франковск</v>
      </c>
      <c r="B119" s="150">
        <v>6489578</v>
      </c>
      <c r="C119" s="149"/>
      <c r="D119" s="147"/>
      <c r="E119" s="147">
        <v>600</v>
      </c>
      <c r="F119" s="147">
        <v>800</v>
      </c>
      <c r="G119" s="147">
        <v>1000</v>
      </c>
      <c r="H119" s="147">
        <v>1120</v>
      </c>
      <c r="I119" s="147">
        <v>1130</v>
      </c>
      <c r="J119" s="147">
        <v>28.2</v>
      </c>
      <c r="K119" s="162">
        <f>IF(Главная!$P$9="Дол.",AY119,IF(Главная!$P$9="гривен.",AQ119,IF(Главная!$P$9="рублей.",AJ119,AQ119)))</f>
        <v>2.12</v>
      </c>
      <c r="L119" s="162">
        <f>IF(Главная!$P$9="Дол.",AZ119,IF(Главная!$P$9="гривен.",AR119,IF(Главная!$P$9="рублей.",AK119,AR119)))</f>
        <v>2.12</v>
      </c>
      <c r="M119" s="162">
        <f>IF(Главная!$P$9="Дол.",BA119,IF(Главная!$P$9="гривен.",AS119,IF(Главная!$P$9="рублей.",AL119,AS119)))</f>
        <v>2.12</v>
      </c>
      <c r="N119" s="162">
        <f>IF(Главная!$P$9="Дол.",BB119,IF(Главная!$P$9="гривен.",AT119,IF(Главная!$P$9="рублей.",AM119,AT119)))</f>
        <v>2.12</v>
      </c>
      <c r="O119" s="162">
        <f>IF(Главная!$P$9="Дол.",BC119,IF(Главная!$P$9="гривен.",AU119,IF(Главная!$P$9="рублей.",AN119,AU119)))</f>
        <v>2.12</v>
      </c>
      <c r="P119" s="148">
        <v>17.8</v>
      </c>
      <c r="Q119" s="148">
        <v>16.8</v>
      </c>
      <c r="R119" s="148">
        <v>16.2</v>
      </c>
      <c r="S119" s="148">
        <v>15.8</v>
      </c>
      <c r="T119" s="148">
        <v>15.2</v>
      </c>
      <c r="U119" s="147">
        <v>14.7</v>
      </c>
      <c r="V119" s="147">
        <v>14</v>
      </c>
      <c r="W119" s="147">
        <v>4700</v>
      </c>
      <c r="X119" s="147">
        <v>4600</v>
      </c>
      <c r="Y119" s="147">
        <v>4300</v>
      </c>
      <c r="Z119" s="147">
        <v>4100</v>
      </c>
      <c r="AA119" s="147">
        <v>3950</v>
      </c>
      <c r="AB119" s="147">
        <v>3800</v>
      </c>
      <c r="AC119" s="147">
        <v>3700</v>
      </c>
      <c r="AD119" s="147">
        <v>3650</v>
      </c>
      <c r="AE119" s="147">
        <v>3600</v>
      </c>
      <c r="AG119" s="153"/>
      <c r="AH119" s="152"/>
      <c r="AI119" s="150" t="s">
        <v>2516</v>
      </c>
      <c r="AJ119" s="148">
        <v>24.4</v>
      </c>
      <c r="AK119" s="148">
        <v>23.2</v>
      </c>
      <c r="AL119" s="148">
        <v>21.5</v>
      </c>
      <c r="AM119" s="148">
        <v>20.3</v>
      </c>
      <c r="AN119" s="148">
        <v>19.100000000000001</v>
      </c>
      <c r="AP119" s="144" t="s">
        <v>2399</v>
      </c>
      <c r="AQ119" s="141">
        <v>2.12</v>
      </c>
      <c r="AR119" s="141">
        <v>2.12</v>
      </c>
      <c r="AS119" s="141">
        <v>2.12</v>
      </c>
      <c r="AT119" s="141">
        <v>2.12</v>
      </c>
      <c r="AU119" s="141">
        <v>2.12</v>
      </c>
      <c r="AV119" s="141">
        <v>2.12</v>
      </c>
      <c r="AW119" s="141">
        <v>2.12</v>
      </c>
      <c r="AX119" s="126" t="s">
        <v>2588</v>
      </c>
    </row>
    <row r="120" spans="1:50" ht="14.5">
      <c r="A120" s="150" t="str">
        <f>IF(Главная!$P$9="Дол.",AX120,IF(Главная!$P$9="гривен.",AP120,IF(Главная!$P$9="рублей.",AI120,AP120)))</f>
        <v>Измаил</v>
      </c>
      <c r="B120" s="150">
        <v>6308461</v>
      </c>
      <c r="C120" s="149"/>
      <c r="D120" s="147"/>
      <c r="E120" s="147">
        <v>300</v>
      </c>
      <c r="F120" s="147">
        <v>400</v>
      </c>
      <c r="G120" s="147">
        <v>600</v>
      </c>
      <c r="H120" s="147">
        <v>710</v>
      </c>
      <c r="I120" s="147">
        <v>720</v>
      </c>
      <c r="J120" s="147">
        <v>18</v>
      </c>
      <c r="K120" s="162">
        <f>IF(Главная!$P$9="Дол.",AY120,IF(Главная!$P$9="гривен.",AQ120,IF(Главная!$P$9="рублей.",AJ120,AQ120)))</f>
        <v>2.12</v>
      </c>
      <c r="L120" s="162">
        <f>IF(Главная!$P$9="Дол.",AZ120,IF(Главная!$P$9="гривен.",AR120,IF(Главная!$P$9="рублей.",AK120,AR120)))</f>
        <v>2.12</v>
      </c>
      <c r="M120" s="162">
        <f>IF(Главная!$P$9="Дол.",BA120,IF(Главная!$P$9="гривен.",AS120,IF(Главная!$P$9="рублей.",AL120,AS120)))</f>
        <v>2.12</v>
      </c>
      <c r="N120" s="162">
        <f>IF(Главная!$P$9="Дол.",BB120,IF(Главная!$P$9="гривен.",AT120,IF(Главная!$P$9="рублей.",AM120,AT120)))</f>
        <v>2.12</v>
      </c>
      <c r="O120" s="162">
        <f>IF(Главная!$P$9="Дол.",BC120,IF(Главная!$P$9="гривен.",AU120,IF(Главная!$P$9="рублей.",AN120,AU120)))</f>
        <v>2.12</v>
      </c>
      <c r="P120" s="148">
        <v>15</v>
      </c>
      <c r="Q120" s="148">
        <v>14.5</v>
      </c>
      <c r="R120" s="148">
        <v>14</v>
      </c>
      <c r="S120" s="148">
        <v>13.8</v>
      </c>
      <c r="T120" s="148">
        <v>13.6</v>
      </c>
      <c r="U120" s="147">
        <v>13.4</v>
      </c>
      <c r="V120" s="147">
        <v>13.2</v>
      </c>
      <c r="W120" s="147">
        <v>3600</v>
      </c>
      <c r="X120" s="147">
        <v>3500</v>
      </c>
      <c r="Y120" s="147">
        <v>3400</v>
      </c>
      <c r="Z120" s="147">
        <v>3300</v>
      </c>
      <c r="AA120" s="147">
        <v>3200</v>
      </c>
      <c r="AB120" s="147">
        <v>3100</v>
      </c>
      <c r="AC120" s="147">
        <v>3000</v>
      </c>
      <c r="AD120" s="147">
        <v>2900</v>
      </c>
      <c r="AE120" s="147">
        <v>2800</v>
      </c>
      <c r="AG120" s="153"/>
      <c r="AH120" s="152"/>
      <c r="AI120" s="150" t="s">
        <v>2515</v>
      </c>
      <c r="AJ120" s="148">
        <v>17</v>
      </c>
      <c r="AK120" s="148">
        <v>16.8</v>
      </c>
      <c r="AL120" s="148">
        <v>16.399999999999999</v>
      </c>
      <c r="AM120" s="148">
        <v>16</v>
      </c>
      <c r="AN120" s="148">
        <v>15.5</v>
      </c>
      <c r="AP120" s="144" t="s">
        <v>2398</v>
      </c>
      <c r="AQ120" s="141">
        <v>2.12</v>
      </c>
      <c r="AR120" s="141">
        <v>2.12</v>
      </c>
      <c r="AS120" s="141">
        <v>2.12</v>
      </c>
      <c r="AT120" s="141">
        <v>2.12</v>
      </c>
      <c r="AU120" s="141">
        <v>2.12</v>
      </c>
      <c r="AV120" s="141">
        <v>2.12</v>
      </c>
      <c r="AW120" s="141">
        <v>2.12</v>
      </c>
      <c r="AX120" s="126" t="s">
        <v>2589</v>
      </c>
    </row>
    <row r="121" spans="1:50" ht="14.5">
      <c r="A121" s="150" t="str">
        <f>IF(Главная!$P$9="Дол.",AX121,IF(Главная!$P$9="гривен.",AP121,IF(Главная!$P$9="рублей.",AI121,AP121)))</f>
        <v>Изюм</v>
      </c>
      <c r="B121" s="150">
        <v>6306464</v>
      </c>
      <c r="C121" s="149"/>
      <c r="D121" s="147"/>
      <c r="E121" s="147">
        <v>290</v>
      </c>
      <c r="F121" s="147">
        <v>300</v>
      </c>
      <c r="G121" s="147">
        <v>310</v>
      </c>
      <c r="H121" s="147">
        <v>320</v>
      </c>
      <c r="I121" s="147">
        <v>330</v>
      </c>
      <c r="J121" s="147">
        <v>8.1999999999999993</v>
      </c>
      <c r="K121" s="162">
        <f>IF(Главная!$P$9="Дол.",AY121,IF(Главная!$P$9="гривен.",AQ121,IF(Главная!$P$9="рублей.",AJ121,AQ121)))</f>
        <v>1.74</v>
      </c>
      <c r="L121" s="162">
        <f>IF(Главная!$P$9="Дол.",AZ121,IF(Главная!$P$9="гривен.",AR121,IF(Главная!$P$9="рублей.",AK121,AR121)))</f>
        <v>1.74</v>
      </c>
      <c r="M121" s="162">
        <f>IF(Главная!$P$9="Дол.",BA121,IF(Главная!$P$9="гривен.",AS121,IF(Главная!$P$9="рублей.",AL121,AS121)))</f>
        <v>1.74</v>
      </c>
      <c r="N121" s="162">
        <f>IF(Главная!$P$9="Дол.",BB121,IF(Главная!$P$9="гривен.",AT121,IF(Главная!$P$9="рублей.",AM121,AT121)))</f>
        <v>1.74</v>
      </c>
      <c r="O121" s="162">
        <f>IF(Главная!$P$9="Дол.",BC121,IF(Главная!$P$9="гривен.",AU121,IF(Главная!$P$9="рублей.",AN121,AU121)))</f>
        <v>1.74</v>
      </c>
      <c r="P121" s="148">
        <v>5.8</v>
      </c>
      <c r="Q121" s="148">
        <v>5.7</v>
      </c>
      <c r="R121" s="148">
        <v>5.6</v>
      </c>
      <c r="S121" s="148">
        <v>5.5</v>
      </c>
      <c r="T121" s="148">
        <v>5.4</v>
      </c>
      <c r="U121" s="147">
        <v>5.3</v>
      </c>
      <c r="V121" s="147">
        <v>5.2</v>
      </c>
      <c r="W121" s="147">
        <v>1700</v>
      </c>
      <c r="X121" s="147">
        <v>1600</v>
      </c>
      <c r="Y121" s="147">
        <v>1500</v>
      </c>
      <c r="Z121" s="147">
        <v>1400</v>
      </c>
      <c r="AA121" s="147">
        <v>1350</v>
      </c>
      <c r="AB121" s="147">
        <v>1350</v>
      </c>
      <c r="AC121" s="147">
        <v>1350</v>
      </c>
      <c r="AD121" s="147">
        <v>1300</v>
      </c>
      <c r="AE121" s="147">
        <v>1300</v>
      </c>
      <c r="AG121" s="153"/>
      <c r="AH121" s="152"/>
      <c r="AI121" s="150" t="s">
        <v>281</v>
      </c>
      <c r="AJ121" s="148">
        <v>8</v>
      </c>
      <c r="AK121" s="148">
        <v>7.5</v>
      </c>
      <c r="AL121" s="148">
        <v>7</v>
      </c>
      <c r="AM121" s="148">
        <v>6.5</v>
      </c>
      <c r="AN121" s="148">
        <v>6</v>
      </c>
      <c r="AP121" s="144" t="s">
        <v>2397</v>
      </c>
      <c r="AQ121" s="141">
        <v>1.74</v>
      </c>
      <c r="AR121" s="141">
        <v>1.74</v>
      </c>
      <c r="AS121" s="141">
        <v>1.74</v>
      </c>
      <c r="AT121" s="141">
        <v>1.74</v>
      </c>
      <c r="AU121" s="141">
        <v>1.74</v>
      </c>
      <c r="AV121" s="141">
        <v>1.74</v>
      </c>
      <c r="AW121" s="141">
        <v>1.74</v>
      </c>
      <c r="AX121" s="126" t="s">
        <v>2590</v>
      </c>
    </row>
    <row r="122" spans="1:50" ht="14.5">
      <c r="A122" s="150" t="str">
        <f>IF(Главная!$P$9="Дол.",AX122,IF(Главная!$P$9="гривен.",AP122,IF(Главная!$P$9="рублей.",AI122,AP122)))</f>
        <v>Изяслав</v>
      </c>
      <c r="B122" s="150">
        <v>6308039</v>
      </c>
      <c r="C122" s="149"/>
      <c r="D122" s="147"/>
      <c r="E122" s="147">
        <v>300</v>
      </c>
      <c r="F122" s="147">
        <v>400</v>
      </c>
      <c r="G122" s="147">
        <v>600</v>
      </c>
      <c r="H122" s="147">
        <v>710</v>
      </c>
      <c r="I122" s="147">
        <v>720</v>
      </c>
      <c r="J122" s="147">
        <v>18</v>
      </c>
      <c r="K122" s="162">
        <f>IF(Главная!$P$9="Дол.",AY122,IF(Главная!$P$9="гривен.",AQ122,IF(Главная!$P$9="рублей.",AJ122,AQ122)))</f>
        <v>2.12</v>
      </c>
      <c r="L122" s="162">
        <f>IF(Главная!$P$9="Дол.",AZ122,IF(Главная!$P$9="гривен.",AR122,IF(Главная!$P$9="рублей.",AK122,AR122)))</f>
        <v>2.12</v>
      </c>
      <c r="M122" s="162">
        <f>IF(Главная!$P$9="Дол.",BA122,IF(Главная!$P$9="гривен.",AS122,IF(Главная!$P$9="рублей.",AL122,AS122)))</f>
        <v>2.12</v>
      </c>
      <c r="N122" s="162">
        <f>IF(Главная!$P$9="Дол.",BB122,IF(Главная!$P$9="гривен.",AT122,IF(Главная!$P$9="рублей.",AM122,AT122)))</f>
        <v>2.12</v>
      </c>
      <c r="O122" s="162">
        <f>IF(Главная!$P$9="Дол.",BC122,IF(Главная!$P$9="гривен.",AU122,IF(Главная!$P$9="рублей.",AN122,AU122)))</f>
        <v>2.12</v>
      </c>
      <c r="P122" s="148">
        <v>16.100000000000001</v>
      </c>
      <c r="Q122" s="148">
        <v>16</v>
      </c>
      <c r="R122" s="148">
        <v>15.8</v>
      </c>
      <c r="S122" s="148">
        <v>15.6</v>
      </c>
      <c r="T122" s="148">
        <v>15.5</v>
      </c>
      <c r="U122" s="147">
        <v>15.4</v>
      </c>
      <c r="V122" s="147">
        <v>15.2</v>
      </c>
      <c r="W122" s="147">
        <v>3900</v>
      </c>
      <c r="X122" s="147">
        <v>3800</v>
      </c>
      <c r="Y122" s="147">
        <v>3700</v>
      </c>
      <c r="Z122" s="147">
        <v>3600</v>
      </c>
      <c r="AA122" s="147">
        <v>3500</v>
      </c>
      <c r="AB122" s="147">
        <v>3400</v>
      </c>
      <c r="AC122" s="147">
        <v>3350</v>
      </c>
      <c r="AD122" s="147">
        <v>3300</v>
      </c>
      <c r="AE122" s="147">
        <v>3300</v>
      </c>
      <c r="AG122" s="153"/>
      <c r="AH122" s="152"/>
      <c r="AI122" s="150" t="s">
        <v>263</v>
      </c>
      <c r="AJ122" s="148">
        <v>17.5</v>
      </c>
      <c r="AK122" s="148">
        <v>17.2</v>
      </c>
      <c r="AL122" s="148">
        <v>17</v>
      </c>
      <c r="AM122" s="148">
        <v>16.5</v>
      </c>
      <c r="AN122" s="148">
        <v>16.2</v>
      </c>
      <c r="AP122" s="144" t="s">
        <v>2396</v>
      </c>
      <c r="AQ122" s="141">
        <v>2.12</v>
      </c>
      <c r="AR122" s="141">
        <v>2.12</v>
      </c>
      <c r="AS122" s="141">
        <v>2.12</v>
      </c>
      <c r="AT122" s="141">
        <v>2.12</v>
      </c>
      <c r="AU122" s="141">
        <v>2.12</v>
      </c>
      <c r="AV122" s="141">
        <v>2.12</v>
      </c>
      <c r="AW122" s="141">
        <v>2.12</v>
      </c>
      <c r="AX122" s="126" t="s">
        <v>2583</v>
      </c>
    </row>
    <row r="123" spans="1:50" ht="21">
      <c r="A123" s="150" t="str">
        <f>IF(Главная!$P$9="Дол.",AX123,IF(Главная!$P$9="гривен.",AP123,IF(Главная!$P$9="рублей.",AI123,AP123)))</f>
        <v>Иловайск</v>
      </c>
      <c r="B123" s="150">
        <v>6309879</v>
      </c>
      <c r="C123" s="149"/>
      <c r="D123" s="147"/>
      <c r="E123" s="147">
        <v>300</v>
      </c>
      <c r="F123" s="147">
        <v>400</v>
      </c>
      <c r="G123" s="147">
        <v>460</v>
      </c>
      <c r="H123" s="147">
        <v>470</v>
      </c>
      <c r="I123" s="147">
        <v>480</v>
      </c>
      <c r="J123" s="147">
        <v>12</v>
      </c>
      <c r="K123" s="162">
        <f>IF(Главная!$P$9="Дол.",AY123,IF(Главная!$P$9="гривен.",AQ123,IF(Главная!$P$9="рублей.",AJ123,AQ123)))</f>
        <v>2.23</v>
      </c>
      <c r="L123" s="162">
        <f>IF(Главная!$P$9="Дол.",AZ123,IF(Главная!$P$9="гривен.",AR123,IF(Главная!$P$9="рублей.",AK123,AR123)))</f>
        <v>2.23</v>
      </c>
      <c r="M123" s="162">
        <f>IF(Главная!$P$9="Дол.",BA123,IF(Главная!$P$9="гривен.",AS123,IF(Главная!$P$9="рублей.",AL123,AS123)))</f>
        <v>2.23</v>
      </c>
      <c r="N123" s="162">
        <f>IF(Главная!$P$9="Дол.",BB123,IF(Главная!$P$9="гривен.",AT123,IF(Главная!$P$9="рублей.",AM123,AT123)))</f>
        <v>2.23</v>
      </c>
      <c r="O123" s="162">
        <f>IF(Главная!$P$9="Дол.",BC123,IF(Главная!$P$9="гривен.",AU123,IF(Главная!$P$9="рублей.",AN123,AU123)))</f>
        <v>2.23</v>
      </c>
      <c r="P123" s="148">
        <v>11</v>
      </c>
      <c r="Q123" s="148">
        <v>10.5</v>
      </c>
      <c r="R123" s="148">
        <v>10.4</v>
      </c>
      <c r="S123" s="148">
        <v>10.3</v>
      </c>
      <c r="T123" s="148">
        <v>10.199999999999999</v>
      </c>
      <c r="U123" s="147">
        <v>10.1</v>
      </c>
      <c r="V123" s="147">
        <v>10</v>
      </c>
      <c r="W123" s="147">
        <v>2500</v>
      </c>
      <c r="X123" s="147">
        <v>2450</v>
      </c>
      <c r="Y123" s="147">
        <v>2400</v>
      </c>
      <c r="Z123" s="147">
        <v>2350</v>
      </c>
      <c r="AA123" s="147">
        <v>2300</v>
      </c>
      <c r="AB123" s="147">
        <v>2250</v>
      </c>
      <c r="AC123" s="147">
        <v>2230</v>
      </c>
      <c r="AD123" s="147">
        <v>2210</v>
      </c>
      <c r="AE123" s="147">
        <v>2200</v>
      </c>
      <c r="AG123" s="153"/>
      <c r="AH123" s="152"/>
      <c r="AI123" s="150" t="s">
        <v>2514</v>
      </c>
      <c r="AJ123" s="148">
        <v>12</v>
      </c>
      <c r="AK123" s="148">
        <v>11.8</v>
      </c>
      <c r="AL123" s="148">
        <v>11.6</v>
      </c>
      <c r="AM123" s="148">
        <v>11.4</v>
      </c>
      <c r="AN123" s="148">
        <v>11.2</v>
      </c>
      <c r="AP123" s="144" t="s">
        <v>2395</v>
      </c>
      <c r="AQ123" s="141">
        <v>2.23</v>
      </c>
      <c r="AR123" s="141">
        <v>2.23</v>
      </c>
      <c r="AS123" s="141">
        <v>2.23</v>
      </c>
      <c r="AT123" s="141">
        <v>2.23</v>
      </c>
      <c r="AU123" s="141">
        <v>2.23</v>
      </c>
      <c r="AV123" s="141">
        <v>2.23</v>
      </c>
      <c r="AW123" s="141">
        <v>2.23</v>
      </c>
      <c r="AX123" s="126" t="s">
        <v>2584</v>
      </c>
    </row>
    <row r="124" spans="1:50" ht="14.5">
      <c r="A124" s="150" t="str">
        <f>IF(Главная!$P$9="Дол.",AX124,IF(Главная!$P$9="гривен.",AP124,IF(Главная!$P$9="рублей.",AI124,AP124)))</f>
        <v>Ильинцы</v>
      </c>
      <c r="B124" s="150">
        <v>6307432</v>
      </c>
      <c r="C124" s="149"/>
      <c r="D124" s="147"/>
      <c r="E124" s="147">
        <v>300</v>
      </c>
      <c r="F124" s="147">
        <v>370</v>
      </c>
      <c r="G124" s="147">
        <v>380</v>
      </c>
      <c r="H124" s="147">
        <v>390</v>
      </c>
      <c r="I124" s="147">
        <v>400</v>
      </c>
      <c r="J124" s="147">
        <v>10</v>
      </c>
      <c r="K124" s="162">
        <f>IF(Главная!$P$9="Дол.",AY124,IF(Главная!$P$9="гривен.",AQ124,IF(Главная!$P$9="рублей.",AJ124,AQ124)))</f>
        <v>2.59</v>
      </c>
      <c r="L124" s="162">
        <f>IF(Главная!$P$9="Дол.",AZ124,IF(Главная!$P$9="гривен.",AR124,IF(Главная!$P$9="рублей.",AK124,AR124)))</f>
        <v>2.59</v>
      </c>
      <c r="M124" s="162">
        <f>IF(Главная!$P$9="Дол.",BA124,IF(Главная!$P$9="гривен.",AS124,IF(Главная!$P$9="рублей.",AL124,AS124)))</f>
        <v>2.59</v>
      </c>
      <c r="N124" s="162">
        <f>IF(Главная!$P$9="Дол.",BB124,IF(Главная!$P$9="гривен.",AT124,IF(Главная!$P$9="рублей.",AM124,AT124)))</f>
        <v>2.59</v>
      </c>
      <c r="O124" s="162">
        <f>IF(Главная!$P$9="Дол.",BC124,IF(Главная!$P$9="гривен.",AU124,IF(Главная!$P$9="рублей.",AN124,AU124)))</f>
        <v>2.59</v>
      </c>
      <c r="P124" s="148">
        <v>8.1999999999999993</v>
      </c>
      <c r="Q124" s="148">
        <v>8</v>
      </c>
      <c r="R124" s="148">
        <v>7.8</v>
      </c>
      <c r="S124" s="148">
        <v>7.6</v>
      </c>
      <c r="T124" s="148">
        <v>7.4</v>
      </c>
      <c r="U124" s="147">
        <v>7.2</v>
      </c>
      <c r="V124" s="147">
        <v>7</v>
      </c>
      <c r="W124" s="147">
        <v>2000</v>
      </c>
      <c r="X124" s="147">
        <v>1950</v>
      </c>
      <c r="Y124" s="147">
        <v>1900</v>
      </c>
      <c r="Z124" s="147">
        <v>1850</v>
      </c>
      <c r="AA124" s="147">
        <v>1800</v>
      </c>
      <c r="AB124" s="147">
        <v>1750</v>
      </c>
      <c r="AC124" s="147">
        <v>1700</v>
      </c>
      <c r="AD124" s="147">
        <v>1680</v>
      </c>
      <c r="AE124" s="147">
        <v>1650</v>
      </c>
      <c r="AI124" s="150" t="s">
        <v>201</v>
      </c>
      <c r="AJ124" s="148">
        <v>10</v>
      </c>
      <c r="AK124" s="148">
        <v>9</v>
      </c>
      <c r="AL124" s="148">
        <v>8.8000000000000007</v>
      </c>
      <c r="AM124" s="148">
        <v>8.6</v>
      </c>
      <c r="AN124" s="148">
        <v>8.4</v>
      </c>
      <c r="AP124" s="144" t="s">
        <v>2394</v>
      </c>
      <c r="AQ124" s="141">
        <v>2.59</v>
      </c>
      <c r="AR124" s="141">
        <v>2.59</v>
      </c>
      <c r="AS124" s="141">
        <v>2.59</v>
      </c>
      <c r="AT124" s="141">
        <v>2.59</v>
      </c>
      <c r="AU124" s="141">
        <v>2.59</v>
      </c>
      <c r="AV124" s="141">
        <v>2.59</v>
      </c>
      <c r="AW124" s="141">
        <v>2.59</v>
      </c>
      <c r="AX124" s="126" t="s">
        <v>2585</v>
      </c>
    </row>
    <row r="125" spans="1:50" ht="14.5">
      <c r="A125" s="150" t="str">
        <f>IF(Главная!$P$9="Дол.",AX125,IF(Главная!$P$9="гривен.",AP125,IF(Главная!$P$9="рублей.",AI125,AP125)))</f>
        <v>Ильичевск</v>
      </c>
      <c r="B125" s="150">
        <v>6309812</v>
      </c>
      <c r="C125" s="151" t="s">
        <v>2513</v>
      </c>
      <c r="D125" s="147"/>
      <c r="E125" s="147">
        <v>290</v>
      </c>
      <c r="F125" s="147">
        <v>300</v>
      </c>
      <c r="G125" s="147">
        <v>310</v>
      </c>
      <c r="H125" s="147">
        <v>320</v>
      </c>
      <c r="I125" s="147">
        <v>330</v>
      </c>
      <c r="J125" s="147">
        <v>8.1999999999999993</v>
      </c>
      <c r="K125" s="162">
        <f>IF(Главная!$P$9="Дол.",AY125,IF(Главная!$P$9="гривен.",AQ125,IF(Главная!$P$9="рублей.",AJ125,AQ125)))</f>
        <v>1.86</v>
      </c>
      <c r="L125" s="162">
        <f>IF(Главная!$P$9="Дол.",AZ125,IF(Главная!$P$9="гривен.",AR125,IF(Главная!$P$9="рублей.",AK125,AR125)))</f>
        <v>1.86</v>
      </c>
      <c r="M125" s="162">
        <f>IF(Главная!$P$9="Дол.",BA125,IF(Главная!$P$9="гривен.",AS125,IF(Главная!$P$9="рублей.",AL125,AS125)))</f>
        <v>1.86</v>
      </c>
      <c r="N125" s="162">
        <f>IF(Главная!$P$9="Дол.",BB125,IF(Главная!$P$9="гривен.",AT125,IF(Главная!$P$9="рублей.",AM125,AT125)))</f>
        <v>1.86</v>
      </c>
      <c r="O125" s="162">
        <f>IF(Главная!$P$9="Дол.",BC125,IF(Главная!$P$9="гривен.",AU125,IF(Главная!$P$9="рублей.",AN125,AU125)))</f>
        <v>1.86</v>
      </c>
      <c r="P125" s="148">
        <v>5.8</v>
      </c>
      <c r="Q125" s="148">
        <v>5.7</v>
      </c>
      <c r="R125" s="148">
        <v>5.6</v>
      </c>
      <c r="S125" s="148">
        <v>5.5</v>
      </c>
      <c r="T125" s="148">
        <v>5.4</v>
      </c>
      <c r="U125" s="147">
        <v>5.3</v>
      </c>
      <c r="V125" s="147">
        <v>5.2</v>
      </c>
      <c r="W125" s="147">
        <v>1700</v>
      </c>
      <c r="X125" s="147">
        <v>1600</v>
      </c>
      <c r="Y125" s="147">
        <v>1500</v>
      </c>
      <c r="Z125" s="147">
        <v>1400</v>
      </c>
      <c r="AA125" s="147">
        <v>1350</v>
      </c>
      <c r="AB125" s="147">
        <v>1350</v>
      </c>
      <c r="AC125" s="147">
        <v>1350</v>
      </c>
      <c r="AD125" s="147">
        <v>1300</v>
      </c>
      <c r="AE125" s="147">
        <v>1300</v>
      </c>
      <c r="AI125" s="150" t="s">
        <v>190</v>
      </c>
      <c r="AJ125" s="148">
        <v>8</v>
      </c>
      <c r="AK125" s="148">
        <v>7.5</v>
      </c>
      <c r="AL125" s="148">
        <v>7</v>
      </c>
      <c r="AM125" s="148">
        <v>6.5</v>
      </c>
      <c r="AN125" s="148">
        <v>6</v>
      </c>
      <c r="AP125" s="144" t="s">
        <v>2393</v>
      </c>
      <c r="AQ125" s="141">
        <v>1.86</v>
      </c>
      <c r="AR125" s="141">
        <v>1.86</v>
      </c>
      <c r="AS125" s="141">
        <v>1.86</v>
      </c>
      <c r="AT125" s="141">
        <v>1.86</v>
      </c>
      <c r="AU125" s="141">
        <v>1.86</v>
      </c>
      <c r="AV125" s="141">
        <v>1.86</v>
      </c>
      <c r="AW125" s="141">
        <v>1.86</v>
      </c>
      <c r="AX125" s="126" t="s">
        <v>2586</v>
      </c>
    </row>
    <row r="126" spans="1:50" ht="14.5">
      <c r="A126" s="150" t="str">
        <f>IF(Главная!$P$9="Дол.",AX126,IF(Главная!$P$9="гривен.",AP126,IF(Главная!$P$9="рублей.",AI126,AP126)))</f>
        <v>Ирпень</v>
      </c>
      <c r="B126" s="150">
        <v>6309843</v>
      </c>
      <c r="C126" s="149"/>
      <c r="D126" s="147"/>
      <c r="E126" s="147">
        <v>300</v>
      </c>
      <c r="F126" s="147">
        <v>400</v>
      </c>
      <c r="G126" s="147">
        <v>540</v>
      </c>
      <c r="H126" s="147">
        <v>550</v>
      </c>
      <c r="I126" s="147">
        <v>560</v>
      </c>
      <c r="J126" s="147">
        <v>14</v>
      </c>
      <c r="K126" s="162">
        <f>IF(Главная!$P$9="Дол.",AY126,IF(Главная!$P$9="гривен.",AQ126,IF(Главная!$P$9="рублей.",AJ126,AQ126)))</f>
        <v>1.74</v>
      </c>
      <c r="L126" s="162">
        <f>IF(Главная!$P$9="Дол.",AZ126,IF(Главная!$P$9="гривен.",AR126,IF(Главная!$P$9="рублей.",AK126,AR126)))</f>
        <v>1.74</v>
      </c>
      <c r="M126" s="162">
        <f>IF(Главная!$P$9="Дол.",BA126,IF(Главная!$P$9="гривен.",AS126,IF(Главная!$P$9="рублей.",AL126,AS126)))</f>
        <v>1.74</v>
      </c>
      <c r="N126" s="162">
        <f>IF(Главная!$P$9="Дол.",BB126,IF(Главная!$P$9="гривен.",AT126,IF(Главная!$P$9="рублей.",AM126,AT126)))</f>
        <v>1.74</v>
      </c>
      <c r="O126" s="162">
        <f>IF(Главная!$P$9="Дол.",BC126,IF(Главная!$P$9="гривен.",AU126,IF(Главная!$P$9="рублей.",AN126,AU126)))</f>
        <v>1.74</v>
      </c>
      <c r="P126" s="148">
        <v>12.6</v>
      </c>
      <c r="Q126" s="148">
        <v>12.4</v>
      </c>
      <c r="R126" s="148">
        <v>12.2</v>
      </c>
      <c r="S126" s="148">
        <v>12</v>
      </c>
      <c r="T126" s="148">
        <v>11.8</v>
      </c>
      <c r="U126" s="147">
        <v>11.6</v>
      </c>
      <c r="V126" s="147">
        <v>11.2</v>
      </c>
      <c r="W126" s="147">
        <v>3100</v>
      </c>
      <c r="X126" s="147">
        <v>3000</v>
      </c>
      <c r="Y126" s="147">
        <v>2900</v>
      </c>
      <c r="Z126" s="147">
        <v>2800</v>
      </c>
      <c r="AA126" s="147">
        <v>2750</v>
      </c>
      <c r="AB126" s="147">
        <v>2700</v>
      </c>
      <c r="AC126" s="147">
        <v>2650</v>
      </c>
      <c r="AD126" s="147">
        <v>2650</v>
      </c>
      <c r="AE126" s="147">
        <v>2650</v>
      </c>
      <c r="AI126" s="150" t="s">
        <v>159</v>
      </c>
      <c r="AJ126" s="148">
        <v>14</v>
      </c>
      <c r="AK126" s="148">
        <v>13.8</v>
      </c>
      <c r="AL126" s="148">
        <v>13.5</v>
      </c>
      <c r="AM126" s="148">
        <v>13</v>
      </c>
      <c r="AN126" s="148">
        <v>12.8</v>
      </c>
      <c r="AP126" s="144" t="s">
        <v>2392</v>
      </c>
      <c r="AQ126" s="141">
        <v>1.74</v>
      </c>
      <c r="AR126" s="141">
        <v>1.74</v>
      </c>
      <c r="AS126" s="141">
        <v>1.74</v>
      </c>
      <c r="AT126" s="141">
        <v>1.74</v>
      </c>
      <c r="AU126" s="141">
        <v>1.74</v>
      </c>
      <c r="AV126" s="141">
        <v>1.74</v>
      </c>
      <c r="AW126" s="141">
        <v>1.74</v>
      </c>
      <c r="AX126" s="126" t="s">
        <v>2587</v>
      </c>
    </row>
    <row r="127" spans="1:50" ht="14.5">
      <c r="A127" s="150" t="str">
        <f>IF(Главная!$P$9="Дол.",AX127,IF(Главная!$P$9="гривен.",AP127,IF(Главная!$P$9="рублей.",AI127,AP127)))</f>
        <v>Иршава</v>
      </c>
      <c r="B127" s="150">
        <v>6308604</v>
      </c>
      <c r="C127" s="149"/>
      <c r="D127" s="147"/>
      <c r="E127" s="147">
        <v>300</v>
      </c>
      <c r="F127" s="147">
        <v>330</v>
      </c>
      <c r="G127" s="147">
        <v>340</v>
      </c>
      <c r="H127" s="147">
        <v>350</v>
      </c>
      <c r="I127" s="147">
        <v>360</v>
      </c>
      <c r="J127" s="147">
        <v>9</v>
      </c>
      <c r="K127" s="162">
        <f>IF(Главная!$P$9="Дол.",AY127,IF(Главная!$P$9="гривен.",AQ127,IF(Главная!$P$9="рублей.",AJ127,AQ127)))</f>
        <v>2.59</v>
      </c>
      <c r="L127" s="162">
        <f>IF(Главная!$P$9="Дол.",AZ127,IF(Главная!$P$9="гривен.",AR127,IF(Главная!$P$9="рублей.",AK127,AR127)))</f>
        <v>2.59</v>
      </c>
      <c r="M127" s="162">
        <f>IF(Главная!$P$9="Дол.",BA127,IF(Главная!$P$9="гривен.",AS127,IF(Главная!$P$9="рублей.",AL127,AS127)))</f>
        <v>2.59</v>
      </c>
      <c r="N127" s="162">
        <f>IF(Главная!$P$9="Дол.",BB127,IF(Главная!$P$9="гривен.",AT127,IF(Главная!$P$9="рублей.",AM127,AT127)))</f>
        <v>2.59</v>
      </c>
      <c r="O127" s="162">
        <f>IF(Главная!$P$9="Дол.",BC127,IF(Главная!$P$9="гривен.",AU127,IF(Главная!$P$9="рублей.",AN127,AU127)))</f>
        <v>2.59</v>
      </c>
      <c r="P127" s="148">
        <v>6</v>
      </c>
      <c r="Q127" s="148">
        <v>5.8</v>
      </c>
      <c r="R127" s="148">
        <v>5.5</v>
      </c>
      <c r="S127" s="148">
        <v>5.3</v>
      </c>
      <c r="T127" s="148">
        <v>5.2</v>
      </c>
      <c r="U127" s="147">
        <v>5.0999999999999996</v>
      </c>
      <c r="V127" s="147">
        <v>5</v>
      </c>
      <c r="W127" s="147">
        <v>2000</v>
      </c>
      <c r="X127" s="147">
        <v>1900</v>
      </c>
      <c r="Y127" s="147">
        <v>1800</v>
      </c>
      <c r="Z127" s="147">
        <v>1600</v>
      </c>
      <c r="AA127" s="147">
        <v>1400</v>
      </c>
      <c r="AB127" s="147">
        <v>1300</v>
      </c>
      <c r="AC127" s="147">
        <v>1270</v>
      </c>
      <c r="AD127" s="147">
        <v>1260</v>
      </c>
      <c r="AE127" s="147">
        <v>1250</v>
      </c>
      <c r="AI127" s="150" t="s">
        <v>2512</v>
      </c>
      <c r="AJ127" s="148">
        <v>9</v>
      </c>
      <c r="AK127" s="148">
        <v>8</v>
      </c>
      <c r="AL127" s="148">
        <v>7.5</v>
      </c>
      <c r="AM127" s="148">
        <v>7</v>
      </c>
      <c r="AN127" s="148">
        <v>6.5</v>
      </c>
      <c r="AP127" s="144" t="s">
        <v>2391</v>
      </c>
      <c r="AQ127" s="141">
        <v>2.59</v>
      </c>
      <c r="AR127" s="141">
        <v>2.59</v>
      </c>
      <c r="AS127" s="141">
        <v>2.59</v>
      </c>
      <c r="AT127" s="141">
        <v>2.59</v>
      </c>
      <c r="AU127" s="141">
        <v>2.59</v>
      </c>
      <c r="AV127" s="141">
        <v>2.59</v>
      </c>
      <c r="AW127" s="141">
        <v>2.59</v>
      </c>
      <c r="AX127" s="126" t="s">
        <v>2588</v>
      </c>
    </row>
    <row r="128" spans="1:50" ht="14.5">
      <c r="A128" s="150" t="str">
        <f>IF(Главная!$P$9="Дол.",AX128,IF(Главная!$P$9="гривен.",AP128,IF(Главная!$P$9="рублей.",AI128,AP128)))</f>
        <v>Ичня</v>
      </c>
      <c r="B128" s="150">
        <v>6308562</v>
      </c>
      <c r="C128" s="149"/>
      <c r="D128" s="147">
        <v>5070</v>
      </c>
      <c r="E128" s="147"/>
      <c r="F128" s="147"/>
      <c r="G128" s="147"/>
      <c r="H128" s="147"/>
      <c r="I128" s="147"/>
      <c r="J128" s="147"/>
      <c r="K128" s="162">
        <f>IF(Главная!$P$9="Дол.",AY128,IF(Главная!$P$9="гривен.",AQ128,IF(Главная!$P$9="рублей.",AJ128,AQ128)))</f>
        <v>1.74</v>
      </c>
      <c r="L128" s="162">
        <f>IF(Главная!$P$9="Дол.",AZ128,IF(Главная!$P$9="гривен.",AR128,IF(Главная!$P$9="рублей.",AK128,AR128)))</f>
        <v>1.74</v>
      </c>
      <c r="M128" s="162">
        <f>IF(Главная!$P$9="Дол.",BA128,IF(Главная!$P$9="гривен.",AS128,IF(Главная!$P$9="рублей.",AL128,AS128)))</f>
        <v>1.74</v>
      </c>
      <c r="N128" s="162">
        <f>IF(Главная!$P$9="Дол.",BB128,IF(Главная!$P$9="гривен.",AT128,IF(Главная!$P$9="рублей.",AM128,AT128)))</f>
        <v>1.74</v>
      </c>
      <c r="O128" s="162">
        <f>IF(Главная!$P$9="Дол.",BC128,IF(Главная!$P$9="гривен.",AU128,IF(Главная!$P$9="рублей.",AN128,AU128)))</f>
        <v>1.74</v>
      </c>
      <c r="P128" s="148">
        <v>3.9</v>
      </c>
      <c r="Q128" s="148">
        <v>2.9</v>
      </c>
      <c r="R128" s="148">
        <v>2.7</v>
      </c>
      <c r="S128" s="148">
        <v>2.2999999999999998</v>
      </c>
      <c r="T128" s="148">
        <v>2</v>
      </c>
      <c r="U128" s="147">
        <v>1.4</v>
      </c>
      <c r="V128" s="147">
        <v>1.4</v>
      </c>
      <c r="W128" s="147"/>
      <c r="X128" s="147">
        <v>1610</v>
      </c>
      <c r="Y128" s="147">
        <v>1460</v>
      </c>
      <c r="Z128" s="147">
        <v>920</v>
      </c>
      <c r="AA128" s="147">
        <v>840</v>
      </c>
      <c r="AB128" s="147">
        <v>720</v>
      </c>
      <c r="AC128" s="147">
        <v>590</v>
      </c>
      <c r="AD128" s="147">
        <v>390</v>
      </c>
      <c r="AE128" s="147">
        <v>360</v>
      </c>
      <c r="AI128" s="150" t="s">
        <v>2511</v>
      </c>
      <c r="AJ128" s="148"/>
      <c r="AK128" s="148">
        <v>8.5</v>
      </c>
      <c r="AL128" s="148">
        <v>6.3</v>
      </c>
      <c r="AM128" s="148">
        <v>5.6</v>
      </c>
      <c r="AN128" s="148">
        <v>5.0999999999999996</v>
      </c>
      <c r="AP128" s="144" t="s">
        <v>2390</v>
      </c>
      <c r="AQ128" s="141">
        <v>1.74</v>
      </c>
      <c r="AR128" s="141">
        <v>1.74</v>
      </c>
      <c r="AS128" s="141">
        <v>1.74</v>
      </c>
      <c r="AT128" s="141">
        <v>1.74</v>
      </c>
      <c r="AU128" s="141">
        <v>1.74</v>
      </c>
      <c r="AV128" s="141">
        <v>1.74</v>
      </c>
      <c r="AW128" s="141">
        <v>1.74</v>
      </c>
      <c r="AX128" s="126" t="s">
        <v>2589</v>
      </c>
    </row>
    <row r="129" spans="1:50" ht="21">
      <c r="A129" s="150" t="str">
        <f>IF(Главная!$P$9="Дол.",AX129,IF(Главная!$P$9="гривен.",AP129,IF(Главная!$P$9="рублей.",AI129,AP129)))</f>
        <v>Кагарлык</v>
      </c>
      <c r="B129" s="150">
        <v>6309622</v>
      </c>
      <c r="C129" s="149"/>
      <c r="D129" s="147"/>
      <c r="E129" s="147">
        <v>300</v>
      </c>
      <c r="F129" s="147">
        <v>400</v>
      </c>
      <c r="G129" s="147">
        <v>600</v>
      </c>
      <c r="H129" s="147">
        <v>800</v>
      </c>
      <c r="I129" s="147">
        <v>1280</v>
      </c>
      <c r="J129" s="147">
        <v>32</v>
      </c>
      <c r="K129" s="162">
        <f>IF(Главная!$P$9="Дол.",AY129,IF(Главная!$P$9="гривен.",AQ129,IF(Главная!$P$9="рублей.",AJ129,AQ129)))</f>
        <v>1.74</v>
      </c>
      <c r="L129" s="162">
        <f>IF(Главная!$P$9="Дол.",AZ129,IF(Главная!$P$9="гривен.",AR129,IF(Главная!$P$9="рублей.",AK129,AR129)))</f>
        <v>1.74</v>
      </c>
      <c r="M129" s="162">
        <f>IF(Главная!$P$9="Дол.",BA129,IF(Главная!$P$9="гривен.",AS129,IF(Главная!$P$9="рублей.",AL129,AS129)))</f>
        <v>1.74</v>
      </c>
      <c r="N129" s="162">
        <f>IF(Главная!$P$9="Дол.",BB129,IF(Главная!$P$9="гривен.",AT129,IF(Главная!$P$9="рублей.",AM129,AT129)))</f>
        <v>1.74</v>
      </c>
      <c r="O129" s="162">
        <f>IF(Главная!$P$9="Дол.",BC129,IF(Главная!$P$9="гривен.",AU129,IF(Главная!$P$9="рублей.",AN129,AU129)))</f>
        <v>1.74</v>
      </c>
      <c r="P129" s="148">
        <v>30.1</v>
      </c>
      <c r="Q129" s="148">
        <v>30</v>
      </c>
      <c r="R129" s="148">
        <v>29.8</v>
      </c>
      <c r="S129" s="148">
        <v>29.6</v>
      </c>
      <c r="T129" s="148">
        <v>29.5</v>
      </c>
      <c r="U129" s="147">
        <v>29.4</v>
      </c>
      <c r="V129" s="147">
        <v>29.2</v>
      </c>
      <c r="W129" s="147">
        <v>7200</v>
      </c>
      <c r="X129" s="147">
        <v>7100</v>
      </c>
      <c r="Y129" s="147">
        <v>7000</v>
      </c>
      <c r="Z129" s="147">
        <v>6900</v>
      </c>
      <c r="AA129" s="147">
        <v>6800</v>
      </c>
      <c r="AB129" s="147">
        <v>6700</v>
      </c>
      <c r="AC129" s="147">
        <v>6650</v>
      </c>
      <c r="AD129" s="147">
        <v>6600</v>
      </c>
      <c r="AE129" s="147">
        <v>6600</v>
      </c>
      <c r="AI129" s="150" t="s">
        <v>69</v>
      </c>
      <c r="AJ129" s="148">
        <v>31.5</v>
      </c>
      <c r="AK129" s="148">
        <v>31.2</v>
      </c>
      <c r="AL129" s="148">
        <v>31</v>
      </c>
      <c r="AM129" s="148">
        <v>30.5</v>
      </c>
      <c r="AN129" s="148">
        <v>30.2</v>
      </c>
      <c r="AP129" s="144" t="s">
        <v>2389</v>
      </c>
      <c r="AQ129" s="141">
        <v>1.74</v>
      </c>
      <c r="AR129" s="141">
        <v>1.74</v>
      </c>
      <c r="AS129" s="141">
        <v>1.74</v>
      </c>
      <c r="AT129" s="141">
        <v>1.74</v>
      </c>
      <c r="AU129" s="141">
        <v>1.74</v>
      </c>
      <c r="AV129" s="141">
        <v>1.74</v>
      </c>
      <c r="AW129" s="141">
        <v>1.74</v>
      </c>
      <c r="AX129" s="126" t="s">
        <v>2590</v>
      </c>
    </row>
    <row r="130" spans="1:50" ht="14.5">
      <c r="A130" s="150" t="str">
        <f>IF(Главная!$P$9="Дол.",AX130,IF(Главная!$P$9="гривен.",AP130,IF(Главная!$P$9="рублей.",AI130,AP130)))</f>
        <v>Казанка</v>
      </c>
      <c r="B130" s="150">
        <v>6308545</v>
      </c>
      <c r="C130" s="149"/>
      <c r="D130" s="147"/>
      <c r="E130" s="147">
        <v>290</v>
      </c>
      <c r="F130" s="147">
        <v>300</v>
      </c>
      <c r="G130" s="147">
        <v>310</v>
      </c>
      <c r="H130" s="147">
        <v>320</v>
      </c>
      <c r="I130" s="147">
        <v>330</v>
      </c>
      <c r="J130" s="147">
        <v>8.1999999999999993</v>
      </c>
      <c r="K130" s="162">
        <f>IF(Главная!$P$9="Дол.",AY130,IF(Главная!$P$9="гривен.",AQ130,IF(Главная!$P$9="рублей.",AJ130,AQ130)))</f>
        <v>2.12</v>
      </c>
      <c r="L130" s="162">
        <f>IF(Главная!$P$9="Дол.",AZ130,IF(Главная!$P$9="гривен.",AR130,IF(Главная!$P$9="рублей.",AK130,AR130)))</f>
        <v>2.12</v>
      </c>
      <c r="M130" s="162">
        <f>IF(Главная!$P$9="Дол.",BA130,IF(Главная!$P$9="гривен.",AS130,IF(Главная!$P$9="рублей.",AL130,AS130)))</f>
        <v>2.12</v>
      </c>
      <c r="N130" s="162">
        <f>IF(Главная!$P$9="Дол.",BB130,IF(Главная!$P$9="гривен.",AT130,IF(Главная!$P$9="рублей.",AM130,AT130)))</f>
        <v>2.12</v>
      </c>
      <c r="O130" s="162">
        <f>IF(Главная!$P$9="Дол.",BC130,IF(Главная!$P$9="гривен.",AU130,IF(Главная!$P$9="рублей.",AN130,AU130)))</f>
        <v>2.12</v>
      </c>
      <c r="P130" s="148">
        <v>4.0999999999999996</v>
      </c>
      <c r="Q130" s="148">
        <v>4</v>
      </c>
      <c r="R130" s="148">
        <v>3.9</v>
      </c>
      <c r="S130" s="148">
        <v>3.8</v>
      </c>
      <c r="T130" s="148">
        <v>3.7</v>
      </c>
      <c r="U130" s="147">
        <v>3.6</v>
      </c>
      <c r="V130" s="147">
        <v>3.5</v>
      </c>
      <c r="W130" s="147">
        <v>1200</v>
      </c>
      <c r="X130" s="147">
        <v>1100</v>
      </c>
      <c r="Y130" s="147">
        <v>900</v>
      </c>
      <c r="Z130" s="147">
        <v>850</v>
      </c>
      <c r="AA130" s="147">
        <v>800</v>
      </c>
      <c r="AB130" s="147">
        <v>780</v>
      </c>
      <c r="AC130" s="147">
        <v>770</v>
      </c>
      <c r="AD130" s="147">
        <v>760</v>
      </c>
      <c r="AE130" s="147">
        <v>750</v>
      </c>
      <c r="AI130" s="150" t="s">
        <v>2510</v>
      </c>
      <c r="AJ130" s="148">
        <v>5.4</v>
      </c>
      <c r="AK130" s="148">
        <v>4.5</v>
      </c>
      <c r="AL130" s="148">
        <v>4.4000000000000004</v>
      </c>
      <c r="AM130" s="148">
        <v>4.3</v>
      </c>
      <c r="AN130" s="148">
        <v>4.2</v>
      </c>
      <c r="AP130" s="144" t="s">
        <v>2388</v>
      </c>
      <c r="AQ130" s="141">
        <v>2.12</v>
      </c>
      <c r="AR130" s="141">
        <v>2.12</v>
      </c>
      <c r="AS130" s="141">
        <v>2.12</v>
      </c>
      <c r="AT130" s="141">
        <v>2.12</v>
      </c>
      <c r="AU130" s="141">
        <v>2.12</v>
      </c>
      <c r="AV130" s="141">
        <v>2.12</v>
      </c>
      <c r="AW130" s="141">
        <v>2.12</v>
      </c>
      <c r="AX130" s="126" t="s">
        <v>2583</v>
      </c>
    </row>
    <row r="131" spans="1:50" ht="14.5">
      <c r="A131" s="150" t="str">
        <f>IF(Главная!$P$9="Дол.",AX131,IF(Главная!$P$9="гривен.",AP131,IF(Главная!$P$9="рублей.",AI131,AP131)))</f>
        <v>Казатин</v>
      </c>
      <c r="B131" s="150">
        <v>6307371</v>
      </c>
      <c r="C131" s="149"/>
      <c r="D131" s="147"/>
      <c r="E131" s="147">
        <v>300</v>
      </c>
      <c r="F131" s="147">
        <v>400</v>
      </c>
      <c r="G131" s="147">
        <v>600</v>
      </c>
      <c r="H131" s="147">
        <v>800</v>
      </c>
      <c r="I131" s="147">
        <v>970</v>
      </c>
      <c r="J131" s="147">
        <v>24.2</v>
      </c>
      <c r="K131" s="162">
        <f>IF(Главная!$P$9="Дол.",AY131,IF(Главная!$P$9="гривен.",AQ131,IF(Главная!$P$9="рублей.",AJ131,AQ131)))</f>
        <v>2.12</v>
      </c>
      <c r="L131" s="162">
        <f>IF(Главная!$P$9="Дол.",AZ131,IF(Главная!$P$9="гривен.",AR131,IF(Главная!$P$9="рублей.",AK131,AR131)))</f>
        <v>2.12</v>
      </c>
      <c r="M131" s="162">
        <f>IF(Главная!$P$9="Дол.",BA131,IF(Главная!$P$9="гривен.",AS131,IF(Главная!$P$9="рублей.",AL131,AS131)))</f>
        <v>2.12</v>
      </c>
      <c r="N131" s="162">
        <f>IF(Главная!$P$9="Дол.",BB131,IF(Главная!$P$9="гривен.",AT131,IF(Главная!$P$9="рублей.",AM131,AT131)))</f>
        <v>2.12</v>
      </c>
      <c r="O131" s="162">
        <f>IF(Главная!$P$9="Дол.",BC131,IF(Главная!$P$9="гривен.",AU131,IF(Главная!$P$9="рублей.",AN131,AU131)))</f>
        <v>2.12</v>
      </c>
      <c r="P131" s="148">
        <v>23.4</v>
      </c>
      <c r="Q131" s="148">
        <v>23.2</v>
      </c>
      <c r="R131" s="148">
        <v>23</v>
      </c>
      <c r="S131" s="148">
        <v>22.8</v>
      </c>
      <c r="T131" s="148">
        <v>22.6</v>
      </c>
      <c r="U131" s="147">
        <v>22.4</v>
      </c>
      <c r="V131" s="147">
        <v>22.2</v>
      </c>
      <c r="W131" s="147">
        <v>5770</v>
      </c>
      <c r="X131" s="147">
        <v>5670</v>
      </c>
      <c r="Y131" s="147">
        <v>5620</v>
      </c>
      <c r="Z131" s="147">
        <v>5570</v>
      </c>
      <c r="AA131" s="147">
        <v>5520</v>
      </c>
      <c r="AB131" s="147">
        <v>5470</v>
      </c>
      <c r="AC131" s="147">
        <v>5420</v>
      </c>
      <c r="AD131" s="147">
        <v>5370</v>
      </c>
      <c r="AE131" s="147">
        <v>5270</v>
      </c>
      <c r="AI131" s="150" t="s">
        <v>2509</v>
      </c>
      <c r="AJ131" s="148">
        <v>24.2</v>
      </c>
      <c r="AK131" s="148">
        <v>24</v>
      </c>
      <c r="AL131" s="148">
        <v>23.8</v>
      </c>
      <c r="AM131" s="148">
        <v>23.7</v>
      </c>
      <c r="AN131" s="148">
        <v>23.6</v>
      </c>
      <c r="AP131" s="144" t="s">
        <v>2387</v>
      </c>
      <c r="AQ131" s="141">
        <v>2.12</v>
      </c>
      <c r="AR131" s="141">
        <v>2.12</v>
      </c>
      <c r="AS131" s="141">
        <v>2.12</v>
      </c>
      <c r="AT131" s="141">
        <v>2.12</v>
      </c>
      <c r="AU131" s="141">
        <v>2.12</v>
      </c>
      <c r="AV131" s="141">
        <v>2.12</v>
      </c>
      <c r="AW131" s="141">
        <v>2.12</v>
      </c>
      <c r="AX131" s="126" t="s">
        <v>2584</v>
      </c>
    </row>
    <row r="132" spans="1:50" ht="14.5">
      <c r="A132" s="150" t="str">
        <f>IF(Главная!$P$9="Дол.",AX132,IF(Главная!$P$9="гривен.",AP132,IF(Главная!$P$9="рублей.",AI132,AP132)))</f>
        <v>Каланчак</v>
      </c>
      <c r="B132" s="150">
        <v>6309855</v>
      </c>
      <c r="C132" s="149"/>
      <c r="D132" s="147"/>
      <c r="E132" s="147">
        <v>290</v>
      </c>
      <c r="F132" s="147">
        <v>300</v>
      </c>
      <c r="G132" s="147">
        <v>310</v>
      </c>
      <c r="H132" s="147">
        <v>320</v>
      </c>
      <c r="I132" s="147">
        <v>330</v>
      </c>
      <c r="J132" s="147">
        <v>8.1999999999999993</v>
      </c>
      <c r="K132" s="162">
        <f>IF(Главная!$P$9="Дол.",AY132,IF(Главная!$P$9="гривен.",AQ132,IF(Главная!$P$9="рублей.",AJ132,AQ132)))</f>
        <v>1.86</v>
      </c>
      <c r="L132" s="162">
        <f>IF(Главная!$P$9="Дол.",AZ132,IF(Главная!$P$9="гривен.",AR132,IF(Главная!$P$9="рублей.",AK132,AR132)))</f>
        <v>1.86</v>
      </c>
      <c r="M132" s="162">
        <f>IF(Главная!$P$9="Дол.",BA132,IF(Главная!$P$9="гривен.",AS132,IF(Главная!$P$9="рублей.",AL132,AS132)))</f>
        <v>1.86</v>
      </c>
      <c r="N132" s="162">
        <f>IF(Главная!$P$9="Дол.",BB132,IF(Главная!$P$9="гривен.",AT132,IF(Главная!$P$9="рублей.",AM132,AT132)))</f>
        <v>1.86</v>
      </c>
      <c r="O132" s="162">
        <f>IF(Главная!$P$9="Дол.",BC132,IF(Главная!$P$9="гривен.",AU132,IF(Главная!$P$9="рублей.",AN132,AU132)))</f>
        <v>1.86</v>
      </c>
      <c r="P132" s="148">
        <v>5.6</v>
      </c>
      <c r="Q132" s="148">
        <v>5.4</v>
      </c>
      <c r="R132" s="148">
        <v>5.2</v>
      </c>
      <c r="S132" s="148">
        <v>5</v>
      </c>
      <c r="T132" s="148">
        <v>4.8</v>
      </c>
      <c r="U132" s="147">
        <v>4.5999999999999996</v>
      </c>
      <c r="V132" s="147">
        <v>4.4000000000000004</v>
      </c>
      <c r="W132" s="147">
        <v>1400</v>
      </c>
      <c r="X132" s="147">
        <v>1300</v>
      </c>
      <c r="Y132" s="147">
        <v>1250</v>
      </c>
      <c r="Z132" s="147">
        <v>1230</v>
      </c>
      <c r="AA132" s="147">
        <v>1200</v>
      </c>
      <c r="AB132" s="147">
        <v>1150</v>
      </c>
      <c r="AC132" s="147">
        <v>1100</v>
      </c>
      <c r="AD132" s="147">
        <v>1050</v>
      </c>
      <c r="AE132" s="147">
        <v>1000</v>
      </c>
      <c r="AI132" s="150" t="s">
        <v>2508</v>
      </c>
      <c r="AJ132" s="148">
        <v>7</v>
      </c>
      <c r="AK132" s="148">
        <v>6.5</v>
      </c>
      <c r="AL132" s="148">
        <v>6</v>
      </c>
      <c r="AM132" s="148">
        <v>5.9</v>
      </c>
      <c r="AN132" s="148">
        <v>5.8</v>
      </c>
      <c r="AP132" s="144" t="s">
        <v>2386</v>
      </c>
      <c r="AQ132" s="141">
        <v>1.86</v>
      </c>
      <c r="AR132" s="141">
        <v>1.86</v>
      </c>
      <c r="AS132" s="141">
        <v>1.86</v>
      </c>
      <c r="AT132" s="141">
        <v>1.86</v>
      </c>
      <c r="AU132" s="141">
        <v>1.86</v>
      </c>
      <c r="AV132" s="141">
        <v>1.86</v>
      </c>
      <c r="AW132" s="141">
        <v>1.86</v>
      </c>
      <c r="AX132" s="126" t="s">
        <v>2585</v>
      </c>
    </row>
    <row r="133" spans="1:50" s="140" customFormat="1" ht="14.5">
      <c r="A133" s="150" t="str">
        <f>IF(Главная!$P$9="Дол.",AX133,IF(Главная!$P$9="гривен.",AP133,IF(Главная!$P$9="рублей.",AI133,AP133)))</f>
        <v>Калуш</v>
      </c>
      <c r="B133" s="141">
        <v>1.86</v>
      </c>
      <c r="J133" s="141">
        <v>1.86</v>
      </c>
      <c r="K133" s="162">
        <f>IF(Главная!$P$9="Дол.",AY133,IF(Главная!$P$9="гривен.",AQ133,IF(Главная!$P$9="рублей.",AJ133,AQ133)))</f>
        <v>2.12</v>
      </c>
      <c r="L133" s="162">
        <f>IF(Главная!$P$9="Дол.",AZ133,IF(Главная!$P$9="гривен.",AR133,IF(Главная!$P$9="рублей.",AK133,AR133)))</f>
        <v>2.12</v>
      </c>
      <c r="M133" s="162">
        <f>IF(Главная!$P$9="Дол.",BA133,IF(Главная!$P$9="гривен.",AS133,IF(Главная!$P$9="рублей.",AL133,AS133)))</f>
        <v>2.12</v>
      </c>
      <c r="N133" s="162">
        <f>IF(Главная!$P$9="Дол.",BB133,IF(Главная!$P$9="гривен.",AT133,IF(Главная!$P$9="рублей.",AM133,AT133)))</f>
        <v>2.12</v>
      </c>
      <c r="O133" s="162">
        <f>IF(Главная!$P$9="Дол.",BC133,IF(Главная!$P$9="гривен.",AU133,IF(Главная!$P$9="рублей.",AN133,AU133)))</f>
        <v>2.12</v>
      </c>
      <c r="P133" s="141">
        <v>1.86</v>
      </c>
      <c r="Q133" s="141">
        <v>1.86</v>
      </c>
      <c r="AP133" s="144" t="s">
        <v>2385</v>
      </c>
      <c r="AQ133" s="141">
        <v>2.12</v>
      </c>
      <c r="AR133" s="141">
        <v>2.12</v>
      </c>
      <c r="AS133" s="141">
        <v>2.12</v>
      </c>
      <c r="AT133" s="141">
        <v>2.12</v>
      </c>
      <c r="AU133" s="141">
        <v>2.12</v>
      </c>
      <c r="AV133" s="141">
        <v>2.12</v>
      </c>
      <c r="AW133" s="141">
        <v>2.12</v>
      </c>
      <c r="AX133" s="126" t="s">
        <v>2586</v>
      </c>
    </row>
    <row r="134" spans="1:50" s="140" customFormat="1" ht="21">
      <c r="A134" s="150" t="str">
        <f>IF(Главная!$P$9="Дол.",AX134,IF(Главная!$P$9="гривен.",AP134,IF(Главная!$P$9="рублей.",AI134,AP134)))</f>
        <v>Каменец-Подольский</v>
      </c>
      <c r="B134" s="141">
        <v>1.74</v>
      </c>
      <c r="J134" s="141">
        <v>1.74</v>
      </c>
      <c r="K134" s="162">
        <f>IF(Главная!$P$9="Дол.",AY134,IF(Главная!$P$9="гривен.",AQ134,IF(Главная!$P$9="рублей.",AJ134,AQ134)))</f>
        <v>2.12</v>
      </c>
      <c r="L134" s="162">
        <f>IF(Главная!$P$9="Дол.",AZ134,IF(Главная!$P$9="гривен.",AR134,IF(Главная!$P$9="рублей.",AK134,AR134)))</f>
        <v>2.12</v>
      </c>
      <c r="M134" s="162">
        <f>IF(Главная!$P$9="Дол.",BA134,IF(Главная!$P$9="гривен.",AS134,IF(Главная!$P$9="рублей.",AL134,AS134)))</f>
        <v>2.12</v>
      </c>
      <c r="N134" s="162">
        <f>IF(Главная!$P$9="Дол.",BB134,IF(Главная!$P$9="гривен.",AT134,IF(Главная!$P$9="рублей.",AM134,AT134)))</f>
        <v>2.12</v>
      </c>
      <c r="O134" s="162">
        <f>IF(Главная!$P$9="Дол.",BC134,IF(Главная!$P$9="гривен.",AU134,IF(Главная!$P$9="рублей.",AN134,AU134)))</f>
        <v>2.12</v>
      </c>
      <c r="P134" s="141">
        <v>1.74</v>
      </c>
      <c r="Q134" s="141">
        <v>1.74</v>
      </c>
      <c r="AP134" s="144" t="s">
        <v>2384</v>
      </c>
      <c r="AQ134" s="141">
        <v>2.12</v>
      </c>
      <c r="AR134" s="141">
        <v>2.12</v>
      </c>
      <c r="AS134" s="141">
        <v>2.12</v>
      </c>
      <c r="AT134" s="141">
        <v>2.12</v>
      </c>
      <c r="AU134" s="141">
        <v>2.12</v>
      </c>
      <c r="AV134" s="141">
        <v>2.12</v>
      </c>
      <c r="AW134" s="141">
        <v>2.12</v>
      </c>
      <c r="AX134" s="126" t="s">
        <v>2587</v>
      </c>
    </row>
    <row r="135" spans="1:50" s="140" customFormat="1" ht="21">
      <c r="A135" s="150" t="str">
        <f>IF(Главная!$P$9="Дол.",AX135,IF(Главная!$P$9="гривен.",AP135,IF(Главная!$P$9="рублей.",AI135,AP135)))</f>
        <v>Каменка-Днепровская</v>
      </c>
      <c r="B135" s="141">
        <v>1.74</v>
      </c>
      <c r="J135" s="141">
        <v>1.74</v>
      </c>
      <c r="K135" s="162">
        <f>IF(Главная!$P$9="Дол.",AY135,IF(Главная!$P$9="гривен.",AQ135,IF(Главная!$P$9="рублей.",AJ135,AQ135)))</f>
        <v>2.59</v>
      </c>
      <c r="L135" s="162">
        <f>IF(Главная!$P$9="Дол.",AZ135,IF(Главная!$P$9="гривен.",AR135,IF(Главная!$P$9="рублей.",AK135,AR135)))</f>
        <v>2.59</v>
      </c>
      <c r="M135" s="162">
        <f>IF(Главная!$P$9="Дол.",BA135,IF(Главная!$P$9="гривен.",AS135,IF(Главная!$P$9="рублей.",AL135,AS135)))</f>
        <v>2.59</v>
      </c>
      <c r="N135" s="162">
        <f>IF(Главная!$P$9="Дол.",BB135,IF(Главная!$P$9="гривен.",AT135,IF(Главная!$P$9="рублей.",AM135,AT135)))</f>
        <v>2.59</v>
      </c>
      <c r="O135" s="162">
        <f>IF(Главная!$P$9="Дол.",BC135,IF(Главная!$P$9="гривен.",AU135,IF(Главная!$P$9="рублей.",AN135,AU135)))</f>
        <v>2.59</v>
      </c>
      <c r="P135" s="141">
        <v>1.74</v>
      </c>
      <c r="Q135" s="141">
        <v>1.74</v>
      </c>
      <c r="AP135" s="144" t="s">
        <v>2383</v>
      </c>
      <c r="AQ135" s="141">
        <v>2.59</v>
      </c>
      <c r="AR135" s="141">
        <v>2.59</v>
      </c>
      <c r="AS135" s="141">
        <v>2.59</v>
      </c>
      <c r="AT135" s="141">
        <v>2.59</v>
      </c>
      <c r="AU135" s="141">
        <v>2.59</v>
      </c>
      <c r="AV135" s="141">
        <v>2.59</v>
      </c>
      <c r="AW135" s="141">
        <v>2.59</v>
      </c>
      <c r="AX135" s="126" t="s">
        <v>2588</v>
      </c>
    </row>
    <row r="136" spans="1:50" s="140" customFormat="1" ht="12.75" customHeight="1">
      <c r="A136" s="150" t="str">
        <f>IF(Главная!$P$9="Дол.",AX136,IF(Главная!$P$9="гривен.",AP136,IF(Главная!$P$9="рублей.",AI136,AP136)))</f>
        <v>Канев</v>
      </c>
      <c r="B136" s="141">
        <v>12</v>
      </c>
      <c r="J136" s="141">
        <v>12</v>
      </c>
      <c r="K136" s="162">
        <f>IF(Главная!$P$9="Дол.",AY136,IF(Главная!$P$9="гривен.",AQ136,IF(Главная!$P$9="рублей.",AJ136,AQ136)))</f>
        <v>1.21</v>
      </c>
      <c r="L136" s="162">
        <f>IF(Главная!$P$9="Дол.",AZ136,IF(Главная!$P$9="гривен.",AR136,IF(Главная!$P$9="рублей.",AK136,AR136)))</f>
        <v>1.21</v>
      </c>
      <c r="M136" s="162">
        <f>IF(Главная!$P$9="Дол.",BA136,IF(Главная!$P$9="гривен.",AS136,IF(Главная!$P$9="рублей.",AL136,AS136)))</f>
        <v>1.21</v>
      </c>
      <c r="N136" s="162">
        <f>IF(Главная!$P$9="Дол.",BB136,IF(Главная!$P$9="гривен.",AT136,IF(Главная!$P$9="рублей.",AM136,AT136)))</f>
        <v>1.21</v>
      </c>
      <c r="O136" s="162">
        <f>IF(Главная!$P$9="Дол.",BC136,IF(Главная!$P$9="гривен.",AU136,IF(Главная!$P$9="рублей.",AN136,AU136)))</f>
        <v>1.21</v>
      </c>
      <c r="P136" s="141">
        <v>12</v>
      </c>
      <c r="Q136" s="141">
        <v>12</v>
      </c>
      <c r="AP136" s="144" t="s">
        <v>2382</v>
      </c>
      <c r="AQ136" s="141">
        <v>1.21</v>
      </c>
      <c r="AR136" s="141">
        <v>1.21</v>
      </c>
      <c r="AS136" s="141">
        <v>1.21</v>
      </c>
      <c r="AT136" s="141">
        <v>1.21</v>
      </c>
      <c r="AU136" s="141">
        <v>1.21</v>
      </c>
      <c r="AV136" s="141">
        <v>1.21</v>
      </c>
      <c r="AW136" s="141">
        <v>1.21</v>
      </c>
      <c r="AX136" s="126" t="s">
        <v>2589</v>
      </c>
    </row>
    <row r="137" spans="1:50" s="140" customFormat="1" ht="12.75" customHeight="1">
      <c r="A137" s="150" t="str">
        <f>IF(Главная!$P$9="Дол.",AX137,IF(Главная!$P$9="гривен.",AP137,IF(Главная!$P$9="рублей.",AI137,AP137)))</f>
        <v>Карловка</v>
      </c>
      <c r="B137" s="141">
        <v>1.86</v>
      </c>
      <c r="J137" s="141">
        <v>1.86</v>
      </c>
      <c r="K137" s="162">
        <f>IF(Главная!$P$9="Дол.",AY137,IF(Главная!$P$9="гривен.",AQ137,IF(Главная!$P$9="рублей.",AJ137,AQ137)))</f>
        <v>1.21</v>
      </c>
      <c r="L137" s="162">
        <f>IF(Главная!$P$9="Дол.",AZ137,IF(Главная!$P$9="гривен.",AR137,IF(Главная!$P$9="рублей.",AK137,AR137)))</f>
        <v>1.21</v>
      </c>
      <c r="M137" s="162">
        <f>IF(Главная!$P$9="Дол.",BA137,IF(Главная!$P$9="гривен.",AS137,IF(Главная!$P$9="рублей.",AL137,AS137)))</f>
        <v>1.21</v>
      </c>
      <c r="N137" s="162">
        <f>IF(Главная!$P$9="Дол.",BB137,IF(Главная!$P$9="гривен.",AT137,IF(Главная!$P$9="рублей.",AM137,AT137)))</f>
        <v>1.21</v>
      </c>
      <c r="O137" s="162">
        <f>IF(Главная!$P$9="Дол.",BC137,IF(Главная!$P$9="гривен.",AU137,IF(Главная!$P$9="рублей.",AN137,AU137)))</f>
        <v>1.21</v>
      </c>
      <c r="P137" s="141">
        <v>1.86</v>
      </c>
      <c r="Q137" s="141">
        <v>1.86</v>
      </c>
      <c r="AP137" s="144" t="s">
        <v>2381</v>
      </c>
      <c r="AQ137" s="141">
        <v>1.21</v>
      </c>
      <c r="AR137" s="141">
        <v>1.21</v>
      </c>
      <c r="AS137" s="141">
        <v>1.21</v>
      </c>
      <c r="AT137" s="141">
        <v>1.21</v>
      </c>
      <c r="AU137" s="141">
        <v>1.21</v>
      </c>
      <c r="AV137" s="141">
        <v>1.21</v>
      </c>
      <c r="AW137" s="141">
        <v>1.21</v>
      </c>
      <c r="AX137" s="126" t="s">
        <v>2590</v>
      </c>
    </row>
    <row r="138" spans="1:50" s="140" customFormat="1" ht="12.75" customHeight="1">
      <c r="A138" s="150" t="str">
        <f>IF(Главная!$P$9="Дол.",AX138,IF(Главная!$P$9="гривен.",AP138,IF(Главная!$P$9="рублей.",AI138,AP138)))</f>
        <v>Каховка</v>
      </c>
      <c r="B138" s="141">
        <v>2.23</v>
      </c>
      <c r="J138" s="141">
        <v>2.23</v>
      </c>
      <c r="K138" s="162">
        <f>IF(Главная!$P$9="Дол.",AY138,IF(Главная!$P$9="гривен.",AQ138,IF(Главная!$P$9="рублей.",AJ138,AQ138)))</f>
        <v>1.74</v>
      </c>
      <c r="L138" s="162">
        <f>IF(Главная!$P$9="Дол.",AZ138,IF(Главная!$P$9="гривен.",AR138,IF(Главная!$P$9="рублей.",AK138,AR138)))</f>
        <v>1.74</v>
      </c>
      <c r="M138" s="162">
        <f>IF(Главная!$P$9="Дол.",BA138,IF(Главная!$P$9="гривен.",AS138,IF(Главная!$P$9="рублей.",AL138,AS138)))</f>
        <v>1.74</v>
      </c>
      <c r="N138" s="162">
        <f>IF(Главная!$P$9="Дол.",BB138,IF(Главная!$P$9="гривен.",AT138,IF(Главная!$P$9="рублей.",AM138,AT138)))</f>
        <v>1.74</v>
      </c>
      <c r="O138" s="162">
        <f>IF(Главная!$P$9="Дол.",BC138,IF(Главная!$P$9="гривен.",AU138,IF(Главная!$P$9="рублей.",AN138,AU138)))</f>
        <v>1.74</v>
      </c>
      <c r="P138" s="141">
        <v>2.23</v>
      </c>
      <c r="Q138" s="141">
        <v>2.23</v>
      </c>
      <c r="AP138" s="144" t="s">
        <v>2380</v>
      </c>
      <c r="AQ138" s="141">
        <v>1.74</v>
      </c>
      <c r="AR138" s="141">
        <v>1.74</v>
      </c>
      <c r="AS138" s="141">
        <v>1.74</v>
      </c>
      <c r="AT138" s="141">
        <v>1.74</v>
      </c>
      <c r="AU138" s="141">
        <v>1.74</v>
      </c>
      <c r="AV138" s="141">
        <v>1.74</v>
      </c>
      <c r="AW138" s="141">
        <v>1.74</v>
      </c>
      <c r="AX138" s="126" t="s">
        <v>2583</v>
      </c>
    </row>
    <row r="139" spans="1:50" s="140" customFormat="1" ht="12.75" customHeight="1">
      <c r="A139" s="150" t="str">
        <f>IF(Главная!$P$9="Дол.",AX139,IF(Главная!$P$9="гривен.",AP139,IF(Главная!$P$9="рублей.",AI139,AP139)))</f>
        <v>Керчь</v>
      </c>
      <c r="B139" s="141">
        <v>2.12</v>
      </c>
      <c r="J139" s="141">
        <v>2.12</v>
      </c>
      <c r="K139" s="162">
        <f>IF(Главная!$P$9="Дол.",AY139,IF(Главная!$P$9="гривен.",AQ139,IF(Главная!$P$9="рублей.",AJ139,AQ139)))</f>
        <v>12</v>
      </c>
      <c r="L139" s="162">
        <f>IF(Главная!$P$9="Дол.",AZ139,IF(Главная!$P$9="гривен.",AR139,IF(Главная!$P$9="рублей.",AK139,AR139)))</f>
        <v>12</v>
      </c>
      <c r="M139" s="162">
        <f>IF(Главная!$P$9="Дол.",BA139,IF(Главная!$P$9="гривен.",AS139,IF(Главная!$P$9="рублей.",AL139,AS139)))</f>
        <v>12</v>
      </c>
      <c r="N139" s="162">
        <f>IF(Главная!$P$9="Дол.",BB139,IF(Главная!$P$9="гривен.",AT139,IF(Главная!$P$9="рублей.",AM139,AT139)))</f>
        <v>12</v>
      </c>
      <c r="O139" s="162">
        <f>IF(Главная!$P$9="Дол.",BC139,IF(Главная!$P$9="гривен.",AU139,IF(Главная!$P$9="рублей.",AN139,AU139)))</f>
        <v>12</v>
      </c>
      <c r="P139" s="141">
        <v>2.12</v>
      </c>
      <c r="Q139" s="141">
        <v>2.12</v>
      </c>
      <c r="AP139" s="144" t="s">
        <v>2379</v>
      </c>
      <c r="AQ139" s="141">
        <v>12</v>
      </c>
      <c r="AR139" s="141">
        <v>12</v>
      </c>
      <c r="AS139" s="141">
        <v>12</v>
      </c>
      <c r="AT139" s="141">
        <v>12</v>
      </c>
      <c r="AU139" s="141">
        <v>12</v>
      </c>
      <c r="AV139" s="141">
        <v>12</v>
      </c>
      <c r="AW139" s="141">
        <v>12</v>
      </c>
      <c r="AX139" s="126" t="s">
        <v>2584</v>
      </c>
    </row>
    <row r="140" spans="1:50" s="140" customFormat="1" ht="12.75" customHeight="1">
      <c r="A140" s="150" t="str">
        <f>IF(Главная!$P$9="Дол.",AX140,IF(Главная!$P$9="гривен.",AP140,IF(Главная!$P$9="рублей.",AI140,AP140)))</f>
        <v>Киев</v>
      </c>
      <c r="B140" s="141">
        <v>2.23</v>
      </c>
      <c r="J140" s="141">
        <v>2.23</v>
      </c>
      <c r="K140" s="162">
        <f>IF(Главная!$P$9="Дол.",AY140,IF(Главная!$P$9="гривен.",AQ140,IF(Главная!$P$9="рублей.",AJ140,AQ140)))</f>
        <v>1.86</v>
      </c>
      <c r="L140" s="162">
        <f>IF(Главная!$P$9="Дол.",AZ140,IF(Главная!$P$9="гривен.",AR140,IF(Главная!$P$9="рублей.",AK140,AR140)))</f>
        <v>1.86</v>
      </c>
      <c r="M140" s="162">
        <f>IF(Главная!$P$9="Дол.",BA140,IF(Главная!$P$9="гривен.",AS140,IF(Главная!$P$9="рублей.",AL140,AS140)))</f>
        <v>1.86</v>
      </c>
      <c r="N140" s="162">
        <f>IF(Главная!$P$9="Дол.",BB140,IF(Главная!$P$9="гривен.",AT140,IF(Главная!$P$9="рублей.",AM140,AT140)))</f>
        <v>1.86</v>
      </c>
      <c r="O140" s="162">
        <f>IF(Главная!$P$9="Дол.",BC140,IF(Главная!$P$9="гривен.",AU140,IF(Главная!$P$9="рублей.",AN140,AU140)))</f>
        <v>1.86</v>
      </c>
      <c r="P140" s="141">
        <v>2.23</v>
      </c>
      <c r="Q140" s="141">
        <v>2.23</v>
      </c>
      <c r="AP140" s="144" t="s">
        <v>2378</v>
      </c>
      <c r="AQ140" s="141">
        <v>1.86</v>
      </c>
      <c r="AR140" s="141">
        <v>1.86</v>
      </c>
      <c r="AS140" s="141">
        <v>1.86</v>
      </c>
      <c r="AT140" s="141">
        <v>1.86</v>
      </c>
      <c r="AU140" s="141">
        <v>1.86</v>
      </c>
      <c r="AV140" s="141">
        <v>1.86</v>
      </c>
      <c r="AW140" s="141">
        <v>1.86</v>
      </c>
      <c r="AX140" s="126" t="s">
        <v>2585</v>
      </c>
    </row>
    <row r="141" spans="1:50" s="140" customFormat="1" ht="12" customHeight="1">
      <c r="A141" s="150" t="str">
        <f>IF(Главная!$P$9="Дол.",AX141,IF(Главная!$P$9="гривен.",AP141,IF(Главная!$P$9="рублей.",AI141,AP141)))</f>
        <v>Килия</v>
      </c>
      <c r="B141" s="141">
        <v>1.86</v>
      </c>
      <c r="J141" s="141">
        <v>1.86</v>
      </c>
      <c r="K141" s="162">
        <f>IF(Главная!$P$9="Дол.",AY141,IF(Главная!$P$9="гривен.",AQ141,IF(Главная!$P$9="рублей.",AJ141,AQ141)))</f>
        <v>2.12</v>
      </c>
      <c r="L141" s="162">
        <f>IF(Главная!$P$9="Дол.",AZ141,IF(Главная!$P$9="гривен.",AR141,IF(Главная!$P$9="рублей.",AK141,AR141)))</f>
        <v>2.12</v>
      </c>
      <c r="M141" s="162">
        <f>IF(Главная!$P$9="Дол.",BA141,IF(Главная!$P$9="гривен.",AS141,IF(Главная!$P$9="рублей.",AL141,AS141)))</f>
        <v>2.12</v>
      </c>
      <c r="N141" s="162">
        <f>IF(Главная!$P$9="Дол.",BB141,IF(Главная!$P$9="гривен.",AT141,IF(Главная!$P$9="рублей.",AM141,AT141)))</f>
        <v>2.12</v>
      </c>
      <c r="O141" s="162">
        <f>IF(Главная!$P$9="Дол.",BC141,IF(Главная!$P$9="гривен.",AU141,IF(Главная!$P$9="рублей.",AN141,AU141)))</f>
        <v>2.12</v>
      </c>
      <c r="P141" s="141">
        <v>1.86</v>
      </c>
      <c r="Q141" s="141">
        <v>1.86</v>
      </c>
      <c r="AP141" s="144" t="s">
        <v>2377</v>
      </c>
      <c r="AQ141" s="141">
        <v>2.12</v>
      </c>
      <c r="AR141" s="141">
        <v>2.12</v>
      </c>
      <c r="AS141" s="141">
        <v>2.12</v>
      </c>
      <c r="AT141" s="141">
        <v>2.12</v>
      </c>
      <c r="AU141" s="141">
        <v>2.12</v>
      </c>
      <c r="AV141" s="141">
        <v>2.12</v>
      </c>
      <c r="AW141" s="141">
        <v>2.12</v>
      </c>
      <c r="AX141" s="126" t="s">
        <v>2586</v>
      </c>
    </row>
    <row r="142" spans="1:50" s="140" customFormat="1" ht="25.5" customHeight="1">
      <c r="A142" s="150" t="str">
        <f>IF(Главная!$P$9="Дол.",AX142,IF(Главная!$P$9="гривен.",AP142,IF(Главная!$P$9="рублей.",AI142,AP142)))</f>
        <v>Кировоград</v>
      </c>
      <c r="B142" s="141">
        <v>12</v>
      </c>
      <c r="J142" s="141">
        <v>12</v>
      </c>
      <c r="K142" s="162">
        <f>IF(Главная!$P$9="Дол.",AY142,IF(Главная!$P$9="гривен.",AQ142,IF(Главная!$P$9="рублей.",AJ142,AQ142)))</f>
        <v>1.74</v>
      </c>
      <c r="L142" s="162">
        <f>IF(Главная!$P$9="Дол.",AZ142,IF(Главная!$P$9="гривен.",AR142,IF(Главная!$P$9="рублей.",AK142,AR142)))</f>
        <v>1.74</v>
      </c>
      <c r="M142" s="162">
        <f>IF(Главная!$P$9="Дол.",BA142,IF(Главная!$P$9="гривен.",AS142,IF(Главная!$P$9="рублей.",AL142,AS142)))</f>
        <v>1.74</v>
      </c>
      <c r="N142" s="162">
        <f>IF(Главная!$P$9="Дол.",BB142,IF(Главная!$P$9="гривен.",AT142,IF(Главная!$P$9="рублей.",AM142,AT142)))</f>
        <v>1.74</v>
      </c>
      <c r="O142" s="162">
        <f>IF(Главная!$P$9="Дол.",BC142,IF(Главная!$P$9="гривен.",AU142,IF(Главная!$P$9="рублей.",AN142,AU142)))</f>
        <v>1.74</v>
      </c>
      <c r="P142" s="141">
        <v>12</v>
      </c>
      <c r="Q142" s="141">
        <v>12</v>
      </c>
      <c r="AP142" s="144" t="s">
        <v>2376</v>
      </c>
      <c r="AQ142" s="141">
        <v>1.74</v>
      </c>
      <c r="AR142" s="141">
        <v>1.74</v>
      </c>
      <c r="AS142" s="141">
        <v>1.74</v>
      </c>
      <c r="AT142" s="141">
        <v>1.74</v>
      </c>
      <c r="AU142" s="141">
        <v>1.74</v>
      </c>
      <c r="AV142" s="141">
        <v>1.74</v>
      </c>
      <c r="AW142" s="141">
        <v>1.74</v>
      </c>
      <c r="AX142" s="126" t="s">
        <v>2587</v>
      </c>
    </row>
    <row r="143" spans="1:50" s="140" customFormat="1" ht="12.75" customHeight="1">
      <c r="A143" s="150" t="str">
        <f>IF(Главная!$P$9="Дол.",AX143,IF(Главная!$P$9="гривен.",AP143,IF(Главная!$P$9="рублей.",AI143,AP143)))</f>
        <v>Кировское</v>
      </c>
      <c r="B143" s="141">
        <v>2.95</v>
      </c>
      <c r="J143" s="141">
        <v>2.95</v>
      </c>
      <c r="K143" s="162">
        <f>IF(Главная!$P$9="Дол.",AY143,IF(Главная!$P$9="гривен.",AQ143,IF(Главная!$P$9="рублей.",AJ143,AQ143)))</f>
        <v>2.23</v>
      </c>
      <c r="L143" s="162">
        <f>IF(Главная!$P$9="Дол.",AZ143,IF(Главная!$P$9="гривен.",AR143,IF(Главная!$P$9="рублей.",AK143,AR143)))</f>
        <v>2.23</v>
      </c>
      <c r="M143" s="162">
        <f>IF(Главная!$P$9="Дол.",BA143,IF(Главная!$P$9="гривен.",AS143,IF(Главная!$P$9="рублей.",AL143,AS143)))</f>
        <v>2.23</v>
      </c>
      <c r="N143" s="162">
        <f>IF(Главная!$P$9="Дол.",BB143,IF(Главная!$P$9="гривен.",AT143,IF(Главная!$P$9="рублей.",AM143,AT143)))</f>
        <v>2.23</v>
      </c>
      <c r="O143" s="162">
        <f>IF(Главная!$P$9="Дол.",BC143,IF(Главная!$P$9="гривен.",AU143,IF(Главная!$P$9="рублей.",AN143,AU143)))</f>
        <v>2.23</v>
      </c>
      <c r="P143" s="141">
        <v>2.95</v>
      </c>
      <c r="Q143" s="141">
        <v>2.95</v>
      </c>
      <c r="AP143" s="144" t="s">
        <v>1257</v>
      </c>
      <c r="AQ143" s="141">
        <v>2.23</v>
      </c>
      <c r="AR143" s="141">
        <v>2.23</v>
      </c>
      <c r="AS143" s="141">
        <v>2.23</v>
      </c>
      <c r="AT143" s="141">
        <v>2.23</v>
      </c>
      <c r="AU143" s="141">
        <v>2.23</v>
      </c>
      <c r="AV143" s="141">
        <v>2.23</v>
      </c>
      <c r="AW143" s="141">
        <v>2.23</v>
      </c>
      <c r="AX143" s="126" t="s">
        <v>2588</v>
      </c>
    </row>
    <row r="144" spans="1:50" s="140" customFormat="1" ht="14.25" customHeight="1">
      <c r="A144" s="150" t="str">
        <f>IF(Главная!$P$9="Дол.",AX144,IF(Главная!$P$9="гривен.",AP144,IF(Главная!$P$9="рублей.",AI144,AP144)))</f>
        <v>Кобеляки</v>
      </c>
      <c r="B144" s="141">
        <v>2.23</v>
      </c>
      <c r="J144" s="141">
        <v>2.23</v>
      </c>
      <c r="K144" s="162">
        <f>IF(Главная!$P$9="Дол.",AY144,IF(Главная!$P$9="гривен.",AQ144,IF(Главная!$P$9="рублей.",AJ144,AQ144)))</f>
        <v>1.21</v>
      </c>
      <c r="L144" s="162">
        <f>IF(Главная!$P$9="Дол.",AZ144,IF(Главная!$P$9="гривен.",AR144,IF(Главная!$P$9="рублей.",AK144,AR144)))</f>
        <v>1.21</v>
      </c>
      <c r="M144" s="162">
        <f>IF(Главная!$P$9="Дол.",BA144,IF(Главная!$P$9="гривен.",AS144,IF(Главная!$P$9="рублей.",AL144,AS144)))</f>
        <v>1.21</v>
      </c>
      <c r="N144" s="162">
        <f>IF(Главная!$P$9="Дол.",BB144,IF(Главная!$P$9="гривен.",AT144,IF(Главная!$P$9="рублей.",AM144,AT144)))</f>
        <v>1.21</v>
      </c>
      <c r="O144" s="162">
        <f>IF(Главная!$P$9="Дол.",BC144,IF(Главная!$P$9="гривен.",AU144,IF(Главная!$P$9="рублей.",AN144,AU144)))</f>
        <v>1.21</v>
      </c>
      <c r="P144" s="141">
        <v>2.23</v>
      </c>
      <c r="Q144" s="141">
        <v>2.23</v>
      </c>
      <c r="AP144" s="144" t="s">
        <v>2375</v>
      </c>
      <c r="AQ144" s="141">
        <v>1.21</v>
      </c>
      <c r="AR144" s="141">
        <v>1.21</v>
      </c>
      <c r="AS144" s="141">
        <v>1.21</v>
      </c>
      <c r="AT144" s="141">
        <v>1.21</v>
      </c>
      <c r="AU144" s="141">
        <v>1.21</v>
      </c>
      <c r="AV144" s="141">
        <v>1.21</v>
      </c>
      <c r="AW144" s="141">
        <v>1.21</v>
      </c>
      <c r="AX144" s="126" t="s">
        <v>2589</v>
      </c>
    </row>
    <row r="145" spans="1:50" s="140" customFormat="1" ht="13.5" customHeight="1">
      <c r="A145" s="150" t="str">
        <f>IF(Главная!$P$9="Дол.",AX145,IF(Главная!$P$9="гривен.",AP145,IF(Главная!$P$9="рублей.",AI145,AP145)))</f>
        <v>Ковель</v>
      </c>
      <c r="B145" s="141">
        <v>1.21</v>
      </c>
      <c r="J145" s="141">
        <v>1.21</v>
      </c>
      <c r="K145" s="162">
        <f>IF(Главная!$P$9="Дол.",AY145,IF(Главная!$P$9="гривен.",AQ145,IF(Главная!$P$9="рублей.",AJ145,AQ145)))</f>
        <v>2.12</v>
      </c>
      <c r="L145" s="162">
        <f>IF(Главная!$P$9="Дол.",AZ145,IF(Главная!$P$9="гривен.",AR145,IF(Главная!$P$9="рублей.",AK145,AR145)))</f>
        <v>2.12</v>
      </c>
      <c r="M145" s="162">
        <f>IF(Главная!$P$9="Дол.",BA145,IF(Главная!$P$9="гривен.",AS145,IF(Главная!$P$9="рублей.",AL145,AS145)))</f>
        <v>2.12</v>
      </c>
      <c r="N145" s="162">
        <f>IF(Главная!$P$9="Дол.",BB145,IF(Главная!$P$9="гривен.",AT145,IF(Главная!$P$9="рублей.",AM145,AT145)))</f>
        <v>2.12</v>
      </c>
      <c r="O145" s="162">
        <f>IF(Главная!$P$9="Дол.",BC145,IF(Главная!$P$9="гривен.",AU145,IF(Главная!$P$9="рублей.",AN145,AU145)))</f>
        <v>2.12</v>
      </c>
      <c r="P145" s="141">
        <v>1.21</v>
      </c>
      <c r="Q145" s="141">
        <v>1.21</v>
      </c>
      <c r="AP145" s="144" t="s">
        <v>2374</v>
      </c>
      <c r="AQ145" s="141">
        <v>2.12</v>
      </c>
      <c r="AR145" s="141">
        <v>2.12</v>
      </c>
      <c r="AS145" s="141">
        <v>2.12</v>
      </c>
      <c r="AT145" s="141">
        <v>2.12</v>
      </c>
      <c r="AU145" s="141">
        <v>2.12</v>
      </c>
      <c r="AV145" s="141">
        <v>2.12</v>
      </c>
      <c r="AW145" s="141">
        <v>2.12</v>
      </c>
      <c r="AX145" s="126" t="s">
        <v>2590</v>
      </c>
    </row>
    <row r="146" spans="1:50" s="140" customFormat="1" ht="12" customHeight="1">
      <c r="A146" s="150" t="str">
        <f>IF(Главная!$P$9="Дол.",AX146,IF(Главная!$P$9="гривен.",AP146,IF(Главная!$P$9="рублей.",AI146,AP146)))</f>
        <v>Коломыя</v>
      </c>
      <c r="B146" s="141">
        <v>2.12</v>
      </c>
      <c r="J146" s="141">
        <v>2.12</v>
      </c>
      <c r="K146" s="162">
        <f>IF(Главная!$P$9="Дол.",AY146,IF(Главная!$P$9="гривен.",AQ146,IF(Главная!$P$9="рублей.",AJ146,AQ146)))</f>
        <v>2.12</v>
      </c>
      <c r="L146" s="162">
        <f>IF(Главная!$P$9="Дол.",AZ146,IF(Главная!$P$9="гривен.",AR146,IF(Главная!$P$9="рублей.",AK146,AR146)))</f>
        <v>2.12</v>
      </c>
      <c r="M146" s="162">
        <f>IF(Главная!$P$9="Дол.",BA146,IF(Главная!$P$9="гривен.",AS146,IF(Главная!$P$9="рублей.",AL146,AS146)))</f>
        <v>2.12</v>
      </c>
      <c r="N146" s="162">
        <f>IF(Главная!$P$9="Дол.",BB146,IF(Главная!$P$9="гривен.",AT146,IF(Главная!$P$9="рублей.",AM146,AT146)))</f>
        <v>2.12</v>
      </c>
      <c r="O146" s="162">
        <f>IF(Главная!$P$9="Дол.",BC146,IF(Главная!$P$9="гривен.",AU146,IF(Главная!$P$9="рублей.",AN146,AU146)))</f>
        <v>2.12</v>
      </c>
      <c r="P146" s="141">
        <v>2.12</v>
      </c>
      <c r="Q146" s="141">
        <v>2.12</v>
      </c>
      <c r="AP146" s="144" t="s">
        <v>2373</v>
      </c>
      <c r="AQ146" s="141">
        <v>2.12</v>
      </c>
      <c r="AR146" s="141">
        <v>2.12</v>
      </c>
      <c r="AS146" s="141">
        <v>2.12</v>
      </c>
      <c r="AT146" s="141">
        <v>2.12</v>
      </c>
      <c r="AU146" s="141">
        <v>2.12</v>
      </c>
      <c r="AV146" s="141">
        <v>2.12</v>
      </c>
      <c r="AW146" s="141">
        <v>2.12</v>
      </c>
      <c r="AX146" s="126" t="s">
        <v>2583</v>
      </c>
    </row>
    <row r="147" spans="1:50" s="140" customFormat="1" ht="12.75" customHeight="1">
      <c r="A147" s="150" t="str">
        <f>IF(Главная!$P$9="Дол.",AX147,IF(Главная!$P$9="гривен.",AP147,IF(Главная!$P$9="рублей.",AI147,AP147)))</f>
        <v>Комсомольск</v>
      </c>
      <c r="B147" s="141">
        <v>2.23</v>
      </c>
      <c r="J147" s="141">
        <v>2.23</v>
      </c>
      <c r="K147" s="162">
        <f>IF(Главная!$P$9="Дол.",AY147,IF(Главная!$P$9="гривен.",AQ147,IF(Главная!$P$9="рублей.",AJ147,AQ147)))</f>
        <v>1.21</v>
      </c>
      <c r="L147" s="162">
        <f>IF(Главная!$P$9="Дол.",AZ147,IF(Главная!$P$9="гривен.",AR147,IF(Главная!$P$9="рублей.",AK147,AR147)))</f>
        <v>1.21</v>
      </c>
      <c r="M147" s="162">
        <f>IF(Главная!$P$9="Дол.",BA147,IF(Главная!$P$9="гривен.",AS147,IF(Главная!$P$9="рублей.",AL147,AS147)))</f>
        <v>1.21</v>
      </c>
      <c r="N147" s="162">
        <f>IF(Главная!$P$9="Дол.",BB147,IF(Главная!$P$9="гривен.",AT147,IF(Главная!$P$9="рублей.",AM147,AT147)))</f>
        <v>1.21</v>
      </c>
      <c r="O147" s="162">
        <f>IF(Главная!$P$9="Дол.",BC147,IF(Главная!$P$9="гривен.",AU147,IF(Главная!$P$9="рублей.",AN147,AU147)))</f>
        <v>1.21</v>
      </c>
      <c r="P147" s="141">
        <v>2.23</v>
      </c>
      <c r="Q147" s="141">
        <v>2.23</v>
      </c>
      <c r="AP147" s="144" t="s">
        <v>2372</v>
      </c>
      <c r="AQ147" s="141">
        <v>1.21</v>
      </c>
      <c r="AR147" s="141">
        <v>1.21</v>
      </c>
      <c r="AS147" s="141">
        <v>1.21</v>
      </c>
      <c r="AT147" s="141">
        <v>1.21</v>
      </c>
      <c r="AU147" s="141">
        <v>1.21</v>
      </c>
      <c r="AV147" s="141">
        <v>1.21</v>
      </c>
      <c r="AW147" s="141">
        <v>1.21</v>
      </c>
      <c r="AX147" s="126" t="s">
        <v>2584</v>
      </c>
    </row>
    <row r="148" spans="1:50" s="140" customFormat="1" ht="12.75" customHeight="1">
      <c r="A148" s="150" t="str">
        <f>IF(Главная!$P$9="Дол.",AX148,IF(Главная!$P$9="гривен.",AP148,IF(Главная!$P$9="рублей.",AI148,AP148)))</f>
        <v>Конотоп</v>
      </c>
      <c r="B148" s="141">
        <v>1.74</v>
      </c>
      <c r="J148" s="141">
        <v>1.74</v>
      </c>
      <c r="K148" s="162">
        <f>IF(Главная!$P$9="Дол.",AY148,IF(Главная!$P$9="гривен.",AQ148,IF(Главная!$P$9="рублей.",AJ148,AQ148)))</f>
        <v>1.21</v>
      </c>
      <c r="L148" s="162">
        <f>IF(Главная!$P$9="Дол.",AZ148,IF(Главная!$P$9="гривен.",AR148,IF(Главная!$P$9="рублей.",AK148,AR148)))</f>
        <v>1.21</v>
      </c>
      <c r="M148" s="162">
        <f>IF(Главная!$P$9="Дол.",BA148,IF(Главная!$P$9="гривен.",AS148,IF(Главная!$P$9="рублей.",AL148,AS148)))</f>
        <v>1.21</v>
      </c>
      <c r="N148" s="162">
        <f>IF(Главная!$P$9="Дол.",BB148,IF(Главная!$P$9="гривен.",AT148,IF(Главная!$P$9="рублей.",AM148,AT148)))</f>
        <v>1.21</v>
      </c>
      <c r="O148" s="162">
        <f>IF(Главная!$P$9="Дол.",BC148,IF(Главная!$P$9="гривен.",AU148,IF(Главная!$P$9="рублей.",AN148,AU148)))</f>
        <v>1.21</v>
      </c>
      <c r="P148" s="141">
        <v>1.74</v>
      </c>
      <c r="Q148" s="141">
        <v>1.74</v>
      </c>
      <c r="AP148" s="144" t="s">
        <v>2371</v>
      </c>
      <c r="AQ148" s="141">
        <v>1.21</v>
      </c>
      <c r="AR148" s="141">
        <v>1.21</v>
      </c>
      <c r="AS148" s="141">
        <v>1.21</v>
      </c>
      <c r="AT148" s="141">
        <v>1.21</v>
      </c>
      <c r="AU148" s="141">
        <v>1.21</v>
      </c>
      <c r="AV148" s="141">
        <v>1.21</v>
      </c>
      <c r="AW148" s="141">
        <v>1.21</v>
      </c>
      <c r="AX148" s="126" t="s">
        <v>2585</v>
      </c>
    </row>
    <row r="149" spans="1:50" s="140" customFormat="1" ht="12.75" customHeight="1">
      <c r="A149" s="150" t="str">
        <f>IF(Главная!$P$9="Дол.",AX149,IF(Главная!$P$9="гривен.",AP149,IF(Главная!$P$9="рублей.",AI149,AP149)))</f>
        <v>Константиновка</v>
      </c>
      <c r="B149" s="141">
        <v>1.74</v>
      </c>
      <c r="J149" s="141">
        <v>1.74</v>
      </c>
      <c r="K149" s="162">
        <f>IF(Главная!$P$9="Дол.",AY149,IF(Главная!$P$9="гривен.",AQ149,IF(Главная!$P$9="рублей.",AJ149,AQ149)))</f>
        <v>2.95</v>
      </c>
      <c r="L149" s="162">
        <f>IF(Главная!$P$9="Дол.",AZ149,IF(Главная!$P$9="гривен.",AR149,IF(Главная!$P$9="рублей.",AK149,AR149)))</f>
        <v>2.95</v>
      </c>
      <c r="M149" s="162">
        <f>IF(Главная!$P$9="Дол.",BA149,IF(Главная!$P$9="гривен.",AS149,IF(Главная!$P$9="рублей.",AL149,AS149)))</f>
        <v>2.95</v>
      </c>
      <c r="N149" s="162">
        <f>IF(Главная!$P$9="Дол.",BB149,IF(Главная!$P$9="гривен.",AT149,IF(Главная!$P$9="рублей.",AM149,AT149)))</f>
        <v>2.95</v>
      </c>
      <c r="O149" s="162">
        <f>IF(Главная!$P$9="Дол.",BC149,IF(Главная!$P$9="гривен.",AU149,IF(Главная!$P$9="рублей.",AN149,AU149)))</f>
        <v>2.95</v>
      </c>
      <c r="P149" s="141">
        <v>1.74</v>
      </c>
      <c r="Q149" s="141">
        <v>1.74</v>
      </c>
      <c r="AP149" s="144" t="s">
        <v>2370</v>
      </c>
      <c r="AQ149" s="141">
        <v>2.95</v>
      </c>
      <c r="AR149" s="141">
        <v>2.95</v>
      </c>
      <c r="AS149" s="141">
        <v>2.95</v>
      </c>
      <c r="AT149" s="141">
        <v>2.95</v>
      </c>
      <c r="AU149" s="141">
        <v>2.95</v>
      </c>
      <c r="AV149" s="141">
        <v>2.95</v>
      </c>
      <c r="AW149" s="141">
        <v>2.95</v>
      </c>
      <c r="AX149" s="126" t="s">
        <v>2586</v>
      </c>
    </row>
    <row r="150" spans="1:50" s="140" customFormat="1" ht="21.75" customHeight="1">
      <c r="A150" s="150" t="str">
        <f>IF(Главная!$P$9="Дол.",AX150,IF(Главная!$P$9="гривен.",AP150,IF(Главная!$P$9="рублей.",AI150,AP150)))</f>
        <v>Коростень</v>
      </c>
      <c r="B150" s="141">
        <v>12</v>
      </c>
      <c r="J150" s="141">
        <v>12</v>
      </c>
      <c r="K150" s="162">
        <f>IF(Главная!$P$9="Дол.",AY150,IF(Главная!$P$9="гривен.",AQ150,IF(Главная!$P$9="рублей.",AJ150,AQ150)))</f>
        <v>2.12</v>
      </c>
      <c r="L150" s="162">
        <f>IF(Главная!$P$9="Дол.",AZ150,IF(Главная!$P$9="гривен.",AR150,IF(Главная!$P$9="рублей.",AK150,AR150)))</f>
        <v>2.12</v>
      </c>
      <c r="M150" s="162">
        <f>IF(Главная!$P$9="Дол.",BA150,IF(Главная!$P$9="гривен.",AS150,IF(Главная!$P$9="рублей.",AL150,AS150)))</f>
        <v>2.12</v>
      </c>
      <c r="N150" s="162">
        <f>IF(Главная!$P$9="Дол.",BB150,IF(Главная!$P$9="гривен.",AT150,IF(Главная!$P$9="рублей.",AM150,AT150)))</f>
        <v>2.12</v>
      </c>
      <c r="O150" s="162">
        <f>IF(Главная!$P$9="Дол.",BC150,IF(Главная!$P$9="гривен.",AU150,IF(Главная!$P$9="рублей.",AN150,AU150)))</f>
        <v>2.12</v>
      </c>
      <c r="P150" s="141">
        <v>12</v>
      </c>
      <c r="Q150" s="141">
        <v>12</v>
      </c>
      <c r="AP150" s="144" t="s">
        <v>2369</v>
      </c>
      <c r="AQ150" s="141">
        <v>2.12</v>
      </c>
      <c r="AR150" s="141">
        <v>2.12</v>
      </c>
      <c r="AS150" s="141">
        <v>2.12</v>
      </c>
      <c r="AT150" s="141">
        <v>2.12</v>
      </c>
      <c r="AU150" s="141">
        <v>2.12</v>
      </c>
      <c r="AV150" s="141">
        <v>2.12</v>
      </c>
      <c r="AW150" s="141">
        <v>2.12</v>
      </c>
      <c r="AX150" s="126" t="s">
        <v>2587</v>
      </c>
    </row>
    <row r="151" spans="1:50" s="140" customFormat="1" ht="17.25" customHeight="1">
      <c r="A151" s="150" t="str">
        <f>IF(Главная!$P$9="Дол.",AX151,IF(Главная!$P$9="гривен.",AP151,IF(Главная!$P$9="рублей.",AI151,AP151)))</f>
        <v>Коростышев</v>
      </c>
      <c r="B151" s="141">
        <v>1.74</v>
      </c>
      <c r="J151" s="141">
        <v>1.74</v>
      </c>
      <c r="K151" s="162">
        <f>IF(Главная!$P$9="Дол.",AY151,IF(Главная!$P$9="гривен.",AQ151,IF(Главная!$P$9="рублей.",AJ151,AQ151)))</f>
        <v>1.74</v>
      </c>
      <c r="L151" s="162">
        <f>IF(Главная!$P$9="Дол.",AZ151,IF(Главная!$P$9="гривен.",AR151,IF(Главная!$P$9="рублей.",AK151,AR151)))</f>
        <v>1.74</v>
      </c>
      <c r="M151" s="162">
        <f>IF(Главная!$P$9="Дол.",BA151,IF(Главная!$P$9="гривен.",AS151,IF(Главная!$P$9="рублей.",AL151,AS151)))</f>
        <v>1.74</v>
      </c>
      <c r="N151" s="162">
        <f>IF(Главная!$P$9="Дол.",BB151,IF(Главная!$P$9="гривен.",AT151,IF(Главная!$P$9="рублей.",AM151,AT151)))</f>
        <v>1.74</v>
      </c>
      <c r="O151" s="162">
        <f>IF(Главная!$P$9="Дол.",BC151,IF(Главная!$P$9="гривен.",AU151,IF(Главная!$P$9="рублей.",AN151,AU151)))</f>
        <v>1.74</v>
      </c>
      <c r="P151" s="141">
        <v>1.74</v>
      </c>
      <c r="Q151" s="141">
        <v>1.74</v>
      </c>
      <c r="AP151" s="144" t="s">
        <v>2368</v>
      </c>
      <c r="AQ151" s="141">
        <v>1.74</v>
      </c>
      <c r="AR151" s="141">
        <v>1.74</v>
      </c>
      <c r="AS151" s="141">
        <v>1.74</v>
      </c>
      <c r="AT151" s="141">
        <v>1.74</v>
      </c>
      <c r="AU151" s="141">
        <v>1.74</v>
      </c>
      <c r="AV151" s="141">
        <v>1.74</v>
      </c>
      <c r="AW151" s="141">
        <v>1.74</v>
      </c>
      <c r="AX151" s="126" t="s">
        <v>2588</v>
      </c>
    </row>
    <row r="152" spans="1:50" s="140" customFormat="1" ht="20.25" customHeight="1">
      <c r="A152" s="150" t="str">
        <f>IF(Главная!$P$9="Дол.",AX152,IF(Главная!$P$9="гривен.",AP152,IF(Главная!$P$9="рублей.",AI152,AP152)))</f>
        <v>Корсунь-Шевченковский</v>
      </c>
      <c r="B152" s="141">
        <v>1.86</v>
      </c>
      <c r="J152" s="141">
        <v>1.86</v>
      </c>
      <c r="K152" s="162">
        <f>IF(Главная!$P$9="Дол.",AY152,IF(Главная!$P$9="гривен.",AQ152,IF(Главная!$P$9="рублей.",AJ152,AQ152)))</f>
        <v>1.21</v>
      </c>
      <c r="L152" s="162">
        <f>IF(Главная!$P$9="Дол.",AZ152,IF(Главная!$P$9="гривен.",AR152,IF(Главная!$P$9="рублей.",AK152,AR152)))</f>
        <v>1.21</v>
      </c>
      <c r="M152" s="162">
        <f>IF(Главная!$P$9="Дол.",BA152,IF(Главная!$P$9="гривен.",AS152,IF(Главная!$P$9="рублей.",AL152,AS152)))</f>
        <v>1.21</v>
      </c>
      <c r="N152" s="162">
        <f>IF(Главная!$P$9="Дол.",BB152,IF(Главная!$P$9="гривен.",AT152,IF(Главная!$P$9="рублей.",AM152,AT152)))</f>
        <v>1.21</v>
      </c>
      <c r="O152" s="162">
        <f>IF(Главная!$P$9="Дол.",BC152,IF(Главная!$P$9="гривен.",AU152,IF(Главная!$P$9="рублей.",AN152,AU152)))</f>
        <v>1.21</v>
      </c>
      <c r="P152" s="141">
        <v>1.86</v>
      </c>
      <c r="Q152" s="141">
        <v>1.86</v>
      </c>
      <c r="AP152" s="144" t="s">
        <v>2367</v>
      </c>
      <c r="AQ152" s="141">
        <v>1.21</v>
      </c>
      <c r="AR152" s="141">
        <v>1.21</v>
      </c>
      <c r="AS152" s="141">
        <v>1.21</v>
      </c>
      <c r="AT152" s="141">
        <v>1.21</v>
      </c>
      <c r="AU152" s="141">
        <v>1.21</v>
      </c>
      <c r="AV152" s="141">
        <v>1.21</v>
      </c>
      <c r="AW152" s="141">
        <v>1.21</v>
      </c>
      <c r="AX152" s="126" t="s">
        <v>2589</v>
      </c>
    </row>
    <row r="153" spans="1:50" s="140" customFormat="1" ht="12.75" customHeight="1">
      <c r="A153" s="150" t="str">
        <f>IF(Главная!$P$9="Дол.",AX153,IF(Главная!$P$9="гривен.",AP153,IF(Главная!$P$9="рублей.",AI153,AP153)))</f>
        <v>Корюковка</v>
      </c>
      <c r="B153" s="141">
        <v>12</v>
      </c>
      <c r="J153" s="141">
        <v>12</v>
      </c>
      <c r="K153" s="162">
        <f>IF(Главная!$P$9="Дол.",AY153,IF(Главная!$P$9="гривен.",AQ153,IF(Главная!$P$9="рублей.",AJ153,AQ153)))</f>
        <v>1.74</v>
      </c>
      <c r="L153" s="162">
        <f>IF(Главная!$P$9="Дол.",AZ153,IF(Главная!$P$9="гривен.",AR153,IF(Главная!$P$9="рублей.",AK153,AR153)))</f>
        <v>1.74</v>
      </c>
      <c r="M153" s="162">
        <f>IF(Главная!$P$9="Дол.",BA153,IF(Главная!$P$9="гривен.",AS153,IF(Главная!$P$9="рублей.",AL153,AS153)))</f>
        <v>1.74</v>
      </c>
      <c r="N153" s="162">
        <f>IF(Главная!$P$9="Дол.",BB153,IF(Главная!$P$9="гривен.",AT153,IF(Главная!$P$9="рублей.",AM153,AT153)))</f>
        <v>1.74</v>
      </c>
      <c r="O153" s="162">
        <f>IF(Главная!$P$9="Дол.",BC153,IF(Главная!$P$9="гривен.",AU153,IF(Главная!$P$9="рублей.",AN153,AU153)))</f>
        <v>1.74</v>
      </c>
      <c r="P153" s="141">
        <v>12</v>
      </c>
      <c r="Q153" s="141">
        <v>12</v>
      </c>
      <c r="AP153" s="144" t="s">
        <v>2366</v>
      </c>
      <c r="AQ153" s="141">
        <v>1.74</v>
      </c>
      <c r="AR153" s="141">
        <v>1.74</v>
      </c>
      <c r="AS153" s="141">
        <v>1.74</v>
      </c>
      <c r="AT153" s="141">
        <v>1.74</v>
      </c>
      <c r="AU153" s="141">
        <v>1.74</v>
      </c>
      <c r="AV153" s="141">
        <v>1.74</v>
      </c>
      <c r="AW153" s="141">
        <v>1.74</v>
      </c>
      <c r="AX153" s="126" t="s">
        <v>2590</v>
      </c>
    </row>
    <row r="154" spans="1:50" s="140" customFormat="1" ht="12.75" customHeight="1">
      <c r="A154" s="150" t="str">
        <f>IF(Главная!$P$9="Дол.",AX154,IF(Главная!$P$9="гривен.",AP154,IF(Главная!$P$9="рублей.",AI154,AP154)))</f>
        <v>Косов</v>
      </c>
      <c r="B154" s="141">
        <v>1.74</v>
      </c>
      <c r="J154" s="141">
        <v>1.74</v>
      </c>
      <c r="K154" s="162">
        <f>IF(Главная!$P$9="Дол.",AY154,IF(Главная!$P$9="гривен.",AQ154,IF(Главная!$P$9="рублей.",AJ154,AQ154)))</f>
        <v>2.23</v>
      </c>
      <c r="L154" s="162">
        <f>IF(Главная!$P$9="Дол.",AZ154,IF(Главная!$P$9="гривен.",AR154,IF(Главная!$P$9="рублей.",AK154,AR154)))</f>
        <v>2.23</v>
      </c>
      <c r="M154" s="162">
        <f>IF(Главная!$P$9="Дол.",BA154,IF(Главная!$P$9="гривен.",AS154,IF(Главная!$P$9="рублей.",AL154,AS154)))</f>
        <v>2.23</v>
      </c>
      <c r="N154" s="162">
        <f>IF(Главная!$P$9="Дол.",BB154,IF(Главная!$P$9="гривен.",AT154,IF(Главная!$P$9="рублей.",AM154,AT154)))</f>
        <v>2.23</v>
      </c>
      <c r="O154" s="162">
        <f>IF(Главная!$P$9="Дол.",BC154,IF(Главная!$P$9="гривен.",AU154,IF(Главная!$P$9="рублей.",AN154,AU154)))</f>
        <v>2.23</v>
      </c>
      <c r="P154" s="141">
        <v>1.74</v>
      </c>
      <c r="Q154" s="141">
        <v>1.74</v>
      </c>
      <c r="AP154" s="144" t="s">
        <v>2365</v>
      </c>
      <c r="AQ154" s="141">
        <v>2.23</v>
      </c>
      <c r="AR154" s="141">
        <v>2.23</v>
      </c>
      <c r="AS154" s="141">
        <v>2.23</v>
      </c>
      <c r="AT154" s="141">
        <v>2.23</v>
      </c>
      <c r="AU154" s="141">
        <v>2.23</v>
      </c>
      <c r="AV154" s="141">
        <v>2.23</v>
      </c>
      <c r="AW154" s="141">
        <v>2.23</v>
      </c>
      <c r="AX154" s="126" t="s">
        <v>2583</v>
      </c>
    </row>
    <row r="155" spans="1:50" s="140" customFormat="1" ht="12.75" customHeight="1">
      <c r="A155" s="150" t="str">
        <f>IF(Главная!$P$9="Дол.",AX155,IF(Главная!$P$9="гривен.",AP155,IF(Главная!$P$9="рублей.",AI155,AP155)))</f>
        <v>Костополь</v>
      </c>
      <c r="B155" s="141">
        <v>1.74</v>
      </c>
      <c r="J155" s="141">
        <v>1.74</v>
      </c>
      <c r="K155" s="162">
        <f>IF(Главная!$P$9="Дол.",AY155,IF(Главная!$P$9="гривен.",AQ155,IF(Главная!$P$9="рублей.",AJ155,AQ155)))</f>
        <v>2.12</v>
      </c>
      <c r="L155" s="162">
        <f>IF(Главная!$P$9="Дол.",AZ155,IF(Главная!$P$9="гривен.",AR155,IF(Главная!$P$9="рублей.",AK155,AR155)))</f>
        <v>2.12</v>
      </c>
      <c r="M155" s="162">
        <f>IF(Главная!$P$9="Дол.",BA155,IF(Главная!$P$9="гривен.",AS155,IF(Главная!$P$9="рублей.",AL155,AS155)))</f>
        <v>2.12</v>
      </c>
      <c r="N155" s="162">
        <f>IF(Главная!$P$9="Дол.",BB155,IF(Главная!$P$9="гривен.",AT155,IF(Главная!$P$9="рублей.",AM155,AT155)))</f>
        <v>2.12</v>
      </c>
      <c r="O155" s="162">
        <f>IF(Главная!$P$9="Дол.",BC155,IF(Главная!$P$9="гривен.",AU155,IF(Главная!$P$9="рублей.",AN155,AU155)))</f>
        <v>2.12</v>
      </c>
      <c r="P155" s="141">
        <v>1.74</v>
      </c>
      <c r="Q155" s="141">
        <v>1.74</v>
      </c>
      <c r="AP155" s="144" t="s">
        <v>2364</v>
      </c>
      <c r="AQ155" s="141">
        <v>2.12</v>
      </c>
      <c r="AR155" s="141">
        <v>2.12</v>
      </c>
      <c r="AS155" s="141">
        <v>2.12</v>
      </c>
      <c r="AT155" s="141">
        <v>2.12</v>
      </c>
      <c r="AU155" s="141">
        <v>2.12</v>
      </c>
      <c r="AV155" s="141">
        <v>2.12</v>
      </c>
      <c r="AW155" s="141">
        <v>2.12</v>
      </c>
      <c r="AX155" s="126" t="s">
        <v>2584</v>
      </c>
    </row>
    <row r="156" spans="1:50" s="140" customFormat="1" ht="12.75" customHeight="1">
      <c r="A156" s="150" t="str">
        <f>IF(Главная!$P$9="Дол.",AX156,IF(Главная!$P$9="гривен.",AP156,IF(Главная!$P$9="рублей.",AI156,AP156)))</f>
        <v>Котовск</v>
      </c>
      <c r="B156" s="141">
        <v>2.59</v>
      </c>
      <c r="J156" s="141">
        <v>2.59</v>
      </c>
      <c r="K156" s="162">
        <f>IF(Главная!$P$9="Дол.",AY156,IF(Главная!$P$9="гривен.",AQ156,IF(Главная!$P$9="рублей.",AJ156,AQ156)))</f>
        <v>2.12</v>
      </c>
      <c r="L156" s="162">
        <f>IF(Главная!$P$9="Дол.",AZ156,IF(Главная!$P$9="гривен.",AR156,IF(Главная!$P$9="рублей.",AK156,AR156)))</f>
        <v>2.12</v>
      </c>
      <c r="M156" s="162">
        <f>IF(Главная!$P$9="Дол.",BA156,IF(Главная!$P$9="гривен.",AS156,IF(Главная!$P$9="рублей.",AL156,AS156)))</f>
        <v>2.12</v>
      </c>
      <c r="N156" s="162">
        <f>IF(Главная!$P$9="Дол.",BB156,IF(Главная!$P$9="гривен.",AT156,IF(Главная!$P$9="рублей.",AM156,AT156)))</f>
        <v>2.12</v>
      </c>
      <c r="O156" s="162">
        <f>IF(Главная!$P$9="Дол.",BC156,IF(Главная!$P$9="гривен.",AU156,IF(Главная!$P$9="рублей.",AN156,AU156)))</f>
        <v>2.12</v>
      </c>
      <c r="P156" s="141">
        <v>2.59</v>
      </c>
      <c r="Q156" s="141">
        <v>2.59</v>
      </c>
      <c r="AP156" s="144" t="s">
        <v>2363</v>
      </c>
      <c r="AQ156" s="141">
        <v>2.12</v>
      </c>
      <c r="AR156" s="141">
        <v>2.12</v>
      </c>
      <c r="AS156" s="141">
        <v>2.12</v>
      </c>
      <c r="AT156" s="141">
        <v>2.12</v>
      </c>
      <c r="AU156" s="141">
        <v>2.12</v>
      </c>
      <c r="AV156" s="141">
        <v>2.12</v>
      </c>
      <c r="AW156" s="141">
        <v>2.12</v>
      </c>
      <c r="AX156" s="126" t="s">
        <v>2585</v>
      </c>
    </row>
    <row r="157" spans="1:50" s="140" customFormat="1" ht="12.75" customHeight="1">
      <c r="A157" s="150" t="str">
        <f>IF(Главная!$P$9="Дол.",AX157,IF(Главная!$P$9="гривен.",AP157,IF(Главная!$P$9="рублей.",AI157,AP157)))</f>
        <v>Краматорск</v>
      </c>
      <c r="B157" s="141">
        <v>2.59</v>
      </c>
      <c r="J157" s="141">
        <v>2.59</v>
      </c>
      <c r="K157" s="162">
        <f>IF(Главная!$P$9="Дол.",AY157,IF(Главная!$P$9="гривен.",AQ157,IF(Главная!$P$9="рублей.",AJ157,AQ157)))</f>
        <v>2.23</v>
      </c>
      <c r="L157" s="162">
        <f>IF(Главная!$P$9="Дол.",AZ157,IF(Главная!$P$9="гривен.",AR157,IF(Главная!$P$9="рублей.",AK157,AR157)))</f>
        <v>2.23</v>
      </c>
      <c r="M157" s="162">
        <f>IF(Главная!$P$9="Дол.",BA157,IF(Главная!$P$9="гривен.",AS157,IF(Главная!$P$9="рублей.",AL157,AS157)))</f>
        <v>2.23</v>
      </c>
      <c r="N157" s="162">
        <f>IF(Главная!$P$9="Дол.",BB157,IF(Главная!$P$9="гривен.",AT157,IF(Главная!$P$9="рублей.",AM157,AT157)))</f>
        <v>2.23</v>
      </c>
      <c r="O157" s="162">
        <f>IF(Главная!$P$9="Дол.",BC157,IF(Главная!$P$9="гривен.",AU157,IF(Главная!$P$9="рублей.",AN157,AU157)))</f>
        <v>2.23</v>
      </c>
      <c r="P157" s="141">
        <v>2.59</v>
      </c>
      <c r="Q157" s="141">
        <v>2.59</v>
      </c>
      <c r="AP157" s="144" t="s">
        <v>2362</v>
      </c>
      <c r="AQ157" s="141">
        <v>2.23</v>
      </c>
      <c r="AR157" s="141">
        <v>2.23</v>
      </c>
      <c r="AS157" s="141">
        <v>2.23</v>
      </c>
      <c r="AT157" s="141">
        <v>2.23</v>
      </c>
      <c r="AU157" s="141">
        <v>2.23</v>
      </c>
      <c r="AV157" s="141">
        <v>2.23</v>
      </c>
      <c r="AW157" s="141">
        <v>2.23</v>
      </c>
      <c r="AX157" s="126" t="s">
        <v>2586</v>
      </c>
    </row>
    <row r="158" spans="1:50" s="140" customFormat="1" ht="12.75" customHeight="1">
      <c r="A158" s="150" t="str">
        <f>IF(Главная!$P$9="Дол.",AX158,IF(Главная!$P$9="гривен.",AP158,IF(Главная!$P$9="рублей.",AI158,AP158)))</f>
        <v>Красилов</v>
      </c>
      <c r="B158" s="141">
        <v>2.59</v>
      </c>
      <c r="J158" s="141">
        <v>2.59</v>
      </c>
      <c r="K158" s="162">
        <f>IF(Главная!$P$9="Дол.",AY158,IF(Главная!$P$9="гривен.",AQ158,IF(Главная!$P$9="рублей.",AJ158,AQ158)))</f>
        <v>2.12</v>
      </c>
      <c r="L158" s="162">
        <f>IF(Главная!$P$9="Дол.",AZ158,IF(Главная!$P$9="гривен.",AR158,IF(Главная!$P$9="рублей.",AK158,AR158)))</f>
        <v>2.12</v>
      </c>
      <c r="M158" s="162">
        <f>IF(Главная!$P$9="Дол.",BA158,IF(Главная!$P$9="гривен.",AS158,IF(Главная!$P$9="рублей.",AL158,AS158)))</f>
        <v>2.12</v>
      </c>
      <c r="N158" s="162">
        <f>IF(Главная!$P$9="Дол.",BB158,IF(Главная!$P$9="гривен.",AT158,IF(Главная!$P$9="рублей.",AM158,AT158)))</f>
        <v>2.12</v>
      </c>
      <c r="O158" s="162">
        <f>IF(Главная!$P$9="Дол.",BC158,IF(Главная!$P$9="гривен.",AU158,IF(Главная!$P$9="рублей.",AN158,AU158)))</f>
        <v>2.12</v>
      </c>
      <c r="P158" s="141">
        <v>2.59</v>
      </c>
      <c r="Q158" s="141">
        <v>2.59</v>
      </c>
      <c r="AP158" s="144" t="s">
        <v>2361</v>
      </c>
      <c r="AQ158" s="141">
        <v>2.12</v>
      </c>
      <c r="AR158" s="141">
        <v>2.12</v>
      </c>
      <c r="AS158" s="141">
        <v>2.12</v>
      </c>
      <c r="AT158" s="141">
        <v>2.12</v>
      </c>
      <c r="AU158" s="141">
        <v>2.12</v>
      </c>
      <c r="AV158" s="141">
        <v>2.12</v>
      </c>
      <c r="AW158" s="141">
        <v>2.12</v>
      </c>
      <c r="AX158" s="126" t="s">
        <v>2587</v>
      </c>
    </row>
    <row r="159" spans="1:50" s="140" customFormat="1" ht="12.75" customHeight="1">
      <c r="A159" s="150" t="str">
        <f>IF(Главная!$P$9="Дол.",AX159,IF(Главная!$P$9="гривен.",AP159,IF(Главная!$P$9="рублей.",AI159,AP159)))</f>
        <v>Красноармейск</v>
      </c>
      <c r="B159" s="141">
        <v>1.74</v>
      </c>
      <c r="J159" s="141">
        <v>1.74</v>
      </c>
      <c r="K159" s="162">
        <f>IF(Главная!$P$9="Дол.",AY159,IF(Главная!$P$9="гривен.",AQ159,IF(Главная!$P$9="рублей.",AJ159,AQ159)))</f>
        <v>1.86</v>
      </c>
      <c r="L159" s="162">
        <f>IF(Главная!$P$9="Дол.",AZ159,IF(Главная!$P$9="гривен.",AR159,IF(Главная!$P$9="рублей.",AK159,AR159)))</f>
        <v>1.86</v>
      </c>
      <c r="M159" s="162">
        <f>IF(Главная!$P$9="Дол.",BA159,IF(Главная!$P$9="гривен.",AS159,IF(Главная!$P$9="рублей.",AL159,AS159)))</f>
        <v>1.86</v>
      </c>
      <c r="N159" s="162">
        <f>IF(Главная!$P$9="Дол.",BB159,IF(Главная!$P$9="гривен.",AT159,IF(Главная!$P$9="рублей.",AM159,AT159)))</f>
        <v>1.86</v>
      </c>
      <c r="O159" s="162">
        <f>IF(Главная!$P$9="Дол.",BC159,IF(Главная!$P$9="гривен.",AU159,IF(Главная!$P$9="рублей.",AN159,AU159)))</f>
        <v>1.86</v>
      </c>
      <c r="P159" s="141">
        <v>1.74</v>
      </c>
      <c r="Q159" s="141">
        <v>1.74</v>
      </c>
      <c r="AP159" s="144" t="s">
        <v>2360</v>
      </c>
      <c r="AQ159" s="141">
        <v>1.86</v>
      </c>
      <c r="AR159" s="141">
        <v>1.86</v>
      </c>
      <c r="AS159" s="141">
        <v>1.86</v>
      </c>
      <c r="AT159" s="141">
        <v>1.86</v>
      </c>
      <c r="AU159" s="141">
        <v>1.86</v>
      </c>
      <c r="AV159" s="141">
        <v>1.86</v>
      </c>
      <c r="AW159" s="141">
        <v>1.86</v>
      </c>
      <c r="AX159" s="126" t="s">
        <v>2588</v>
      </c>
    </row>
    <row r="160" spans="1:50" s="140" customFormat="1" ht="12.75" customHeight="1">
      <c r="A160" s="150" t="str">
        <f>IF(Главная!$P$9="Дол.",AX160,IF(Главная!$P$9="гривен.",AP160,IF(Главная!$P$9="рублей.",AI160,AP160)))</f>
        <v>Красноград</v>
      </c>
      <c r="B160" s="141">
        <v>2.12</v>
      </c>
      <c r="J160" s="141">
        <v>2.12</v>
      </c>
      <c r="K160" s="162">
        <f>IF(Главная!$P$9="Дол.",AY160,IF(Главная!$P$9="гривен.",AQ160,IF(Главная!$P$9="рублей.",AJ160,AQ160)))</f>
        <v>1.21</v>
      </c>
      <c r="L160" s="162">
        <f>IF(Главная!$P$9="Дол.",AZ160,IF(Главная!$P$9="гривен.",AR160,IF(Главная!$P$9="рублей.",AK160,AR160)))</f>
        <v>1.21</v>
      </c>
      <c r="M160" s="162">
        <f>IF(Главная!$P$9="Дол.",BA160,IF(Главная!$P$9="гривен.",AS160,IF(Главная!$P$9="рублей.",AL160,AS160)))</f>
        <v>1.21</v>
      </c>
      <c r="N160" s="162">
        <f>IF(Главная!$P$9="Дол.",BB160,IF(Главная!$P$9="гривен.",AT160,IF(Главная!$P$9="рублей.",AM160,AT160)))</f>
        <v>1.21</v>
      </c>
      <c r="O160" s="162">
        <f>IF(Главная!$P$9="Дол.",BC160,IF(Главная!$P$9="гривен.",AU160,IF(Главная!$P$9="рублей.",AN160,AU160)))</f>
        <v>1.21</v>
      </c>
      <c r="P160" s="141">
        <v>2.12</v>
      </c>
      <c r="Q160" s="141">
        <v>2.12</v>
      </c>
      <c r="AP160" s="144" t="s">
        <v>2359</v>
      </c>
      <c r="AQ160" s="141">
        <v>1.21</v>
      </c>
      <c r="AR160" s="141">
        <v>1.21</v>
      </c>
      <c r="AS160" s="141">
        <v>1.21</v>
      </c>
      <c r="AT160" s="141">
        <v>1.21</v>
      </c>
      <c r="AU160" s="141">
        <v>1.21</v>
      </c>
      <c r="AV160" s="141">
        <v>1.21</v>
      </c>
      <c r="AW160" s="141">
        <v>1.21</v>
      </c>
      <c r="AX160" s="126" t="s">
        <v>2589</v>
      </c>
    </row>
    <row r="161" spans="1:50" s="140" customFormat="1" ht="12.75" customHeight="1">
      <c r="A161" s="150" t="str">
        <f>IF(Главная!$P$9="Дол.",AX161,IF(Главная!$P$9="гривен.",AP161,IF(Главная!$P$9="рублей.",AI161,AP161)))</f>
        <v>Краснодон</v>
      </c>
      <c r="B161" s="141">
        <v>2.12</v>
      </c>
      <c r="J161" s="141">
        <v>2.12</v>
      </c>
      <c r="K161" s="162">
        <f>IF(Главная!$P$9="Дол.",AY161,IF(Главная!$P$9="гривен.",AQ161,IF(Главная!$P$9="рублей.",AJ161,AQ161)))</f>
        <v>2.23</v>
      </c>
      <c r="L161" s="162">
        <f>IF(Главная!$P$9="Дол.",AZ161,IF(Главная!$P$9="гривен.",AR161,IF(Главная!$P$9="рублей.",AK161,AR161)))</f>
        <v>2.23</v>
      </c>
      <c r="M161" s="162">
        <f>IF(Главная!$P$9="Дол.",BA161,IF(Главная!$P$9="гривен.",AS161,IF(Главная!$P$9="рублей.",AL161,AS161)))</f>
        <v>2.23</v>
      </c>
      <c r="N161" s="162">
        <f>IF(Главная!$P$9="Дол.",BB161,IF(Главная!$P$9="гривен.",AT161,IF(Главная!$P$9="рублей.",AM161,AT161)))</f>
        <v>2.23</v>
      </c>
      <c r="O161" s="162">
        <f>IF(Главная!$P$9="Дол.",BC161,IF(Главная!$P$9="гривен.",AU161,IF(Главная!$P$9="рублей.",AN161,AU161)))</f>
        <v>2.23</v>
      </c>
      <c r="P161" s="141">
        <v>2.12</v>
      </c>
      <c r="Q161" s="141">
        <v>2.12</v>
      </c>
      <c r="AP161" s="144" t="s">
        <v>2358</v>
      </c>
      <c r="AQ161" s="141">
        <v>2.23</v>
      </c>
      <c r="AR161" s="141">
        <v>2.23</v>
      </c>
      <c r="AS161" s="141">
        <v>2.23</v>
      </c>
      <c r="AT161" s="141">
        <v>2.23</v>
      </c>
      <c r="AU161" s="141">
        <v>2.23</v>
      </c>
      <c r="AV161" s="141">
        <v>2.23</v>
      </c>
      <c r="AW161" s="141">
        <v>2.23</v>
      </c>
      <c r="AX161" s="126" t="s">
        <v>2590</v>
      </c>
    </row>
    <row r="162" spans="1:50" s="140" customFormat="1" ht="12.75" customHeight="1">
      <c r="A162" s="150" t="str">
        <f>IF(Главная!$P$9="Дол.",AX162,IF(Главная!$P$9="гривен.",AP162,IF(Главная!$P$9="рублей.",AI162,AP162)))</f>
        <v>Красный Лиман</v>
      </c>
      <c r="B162" s="141">
        <v>1.74</v>
      </c>
      <c r="J162" s="141">
        <v>1.74</v>
      </c>
      <c r="K162" s="162">
        <f>IF(Главная!$P$9="Дол.",AY162,IF(Главная!$P$9="гривен.",AQ162,IF(Главная!$P$9="рублей.",AJ162,AQ162)))</f>
        <v>1.86</v>
      </c>
      <c r="L162" s="162">
        <f>IF(Главная!$P$9="Дол.",AZ162,IF(Главная!$P$9="гривен.",AR162,IF(Главная!$P$9="рублей.",AK162,AR162)))</f>
        <v>1.86</v>
      </c>
      <c r="M162" s="162">
        <f>IF(Главная!$P$9="Дол.",BA162,IF(Главная!$P$9="гривен.",AS162,IF(Главная!$P$9="рублей.",AL162,AS162)))</f>
        <v>1.86</v>
      </c>
      <c r="N162" s="162">
        <f>IF(Главная!$P$9="Дол.",BB162,IF(Главная!$P$9="гривен.",AT162,IF(Главная!$P$9="рублей.",AM162,AT162)))</f>
        <v>1.86</v>
      </c>
      <c r="O162" s="162">
        <f>IF(Главная!$P$9="Дол.",BC162,IF(Главная!$P$9="гривен.",AU162,IF(Главная!$P$9="рублей.",AN162,AU162)))</f>
        <v>1.86</v>
      </c>
      <c r="P162" s="141">
        <v>1.74</v>
      </c>
      <c r="Q162" s="141">
        <v>1.74</v>
      </c>
      <c r="AP162" s="144" t="s">
        <v>2357</v>
      </c>
      <c r="AQ162" s="141">
        <v>1.86</v>
      </c>
      <c r="AR162" s="141">
        <v>1.86</v>
      </c>
      <c r="AS162" s="141">
        <v>1.86</v>
      </c>
      <c r="AT162" s="141">
        <v>1.86</v>
      </c>
      <c r="AU162" s="141">
        <v>1.86</v>
      </c>
      <c r="AV162" s="141">
        <v>1.86</v>
      </c>
      <c r="AW162" s="141">
        <v>1.86</v>
      </c>
      <c r="AX162" s="126" t="s">
        <v>2583</v>
      </c>
    </row>
    <row r="163" spans="1:50" s="140" customFormat="1" ht="12.75" customHeight="1">
      <c r="A163" s="150" t="str">
        <f>IF(Главная!$P$9="Дол.",AX163,IF(Главная!$P$9="гривен.",AP163,IF(Главная!$P$9="рублей.",AI163,AP163)))</f>
        <v>Красный Луч</v>
      </c>
      <c r="B163" s="141">
        <v>2.59</v>
      </c>
      <c r="J163" s="141">
        <v>2.59</v>
      </c>
      <c r="K163" s="162">
        <f>IF(Главная!$P$9="Дол.",AY163,IF(Главная!$P$9="гривен.",AQ163,IF(Главная!$P$9="рублей.",AJ163,AQ163)))</f>
        <v>2.12</v>
      </c>
      <c r="L163" s="162">
        <f>IF(Главная!$P$9="Дол.",AZ163,IF(Главная!$P$9="гривен.",AR163,IF(Главная!$P$9="рублей.",AK163,AR163)))</f>
        <v>2.12</v>
      </c>
      <c r="M163" s="162">
        <f>IF(Главная!$P$9="Дол.",BA163,IF(Главная!$P$9="гривен.",AS163,IF(Главная!$P$9="рублей.",AL163,AS163)))</f>
        <v>2.12</v>
      </c>
      <c r="N163" s="162">
        <f>IF(Главная!$P$9="Дол.",BB163,IF(Главная!$P$9="гривен.",AT163,IF(Главная!$P$9="рублей.",AM163,AT163)))</f>
        <v>2.12</v>
      </c>
      <c r="O163" s="162">
        <f>IF(Главная!$P$9="Дол.",BC163,IF(Главная!$P$9="гривен.",AU163,IF(Главная!$P$9="рублей.",AN163,AU163)))</f>
        <v>2.12</v>
      </c>
      <c r="P163" s="141">
        <v>2.59</v>
      </c>
      <c r="Q163" s="141">
        <v>2.59</v>
      </c>
      <c r="AP163" s="144" t="s">
        <v>2356</v>
      </c>
      <c r="AQ163" s="141">
        <v>2.12</v>
      </c>
      <c r="AR163" s="141">
        <v>2.12</v>
      </c>
      <c r="AS163" s="141">
        <v>2.12</v>
      </c>
      <c r="AT163" s="141">
        <v>2.12</v>
      </c>
      <c r="AU163" s="141">
        <v>2.12</v>
      </c>
      <c r="AV163" s="141">
        <v>2.12</v>
      </c>
      <c r="AW163" s="141">
        <v>2.12</v>
      </c>
      <c r="AX163" s="126" t="s">
        <v>2584</v>
      </c>
    </row>
    <row r="164" spans="1:50" s="140" customFormat="1" ht="12.75" customHeight="1">
      <c r="A164" s="150" t="str">
        <f>IF(Главная!$P$9="Дол.",AX164,IF(Главная!$P$9="гривен.",AP164,IF(Главная!$P$9="рублей.",AI164,AP164)))</f>
        <v>Кременец</v>
      </c>
      <c r="B164" s="141">
        <v>2.12</v>
      </c>
      <c r="J164" s="141">
        <v>2.12</v>
      </c>
      <c r="K164" s="162">
        <f>IF(Главная!$P$9="Дол.",AY164,IF(Главная!$P$9="гривен.",AQ164,IF(Главная!$P$9="рублей.",AJ164,AQ164)))</f>
        <v>2.59</v>
      </c>
      <c r="L164" s="162">
        <f>IF(Главная!$P$9="Дол.",AZ164,IF(Главная!$P$9="гривен.",AR164,IF(Главная!$P$9="рублей.",AK164,AR164)))</f>
        <v>2.59</v>
      </c>
      <c r="M164" s="162">
        <f>IF(Главная!$P$9="Дол.",BA164,IF(Главная!$P$9="гривен.",AS164,IF(Главная!$P$9="рублей.",AL164,AS164)))</f>
        <v>2.59</v>
      </c>
      <c r="N164" s="162">
        <f>IF(Главная!$P$9="Дол.",BB164,IF(Главная!$P$9="гривен.",AT164,IF(Главная!$P$9="рублей.",AM164,AT164)))</f>
        <v>2.59</v>
      </c>
      <c r="O164" s="162">
        <f>IF(Главная!$P$9="Дол.",BC164,IF(Главная!$P$9="гривен.",AU164,IF(Главная!$P$9="рублей.",AN164,AU164)))</f>
        <v>2.59</v>
      </c>
      <c r="P164" s="141">
        <v>2.12</v>
      </c>
      <c r="Q164" s="141">
        <v>2.12</v>
      </c>
      <c r="AP164" s="144" t="s">
        <v>2355</v>
      </c>
      <c r="AQ164" s="141">
        <v>2.59</v>
      </c>
      <c r="AR164" s="141">
        <v>2.59</v>
      </c>
      <c r="AS164" s="141">
        <v>2.59</v>
      </c>
      <c r="AT164" s="141">
        <v>2.59</v>
      </c>
      <c r="AU164" s="141">
        <v>2.59</v>
      </c>
      <c r="AV164" s="141">
        <v>2.59</v>
      </c>
      <c r="AW164" s="141">
        <v>2.59</v>
      </c>
      <c r="AX164" s="126" t="s">
        <v>2585</v>
      </c>
    </row>
    <row r="165" spans="1:50" s="140" customFormat="1" ht="12.75" customHeight="1">
      <c r="A165" s="150" t="str">
        <f>IF(Главная!$P$9="Дол.",AX165,IF(Главная!$P$9="гривен.",AP165,IF(Главная!$P$9="рублей.",AI165,AP165)))</f>
        <v>Кременная</v>
      </c>
      <c r="B165" s="141">
        <v>2.23</v>
      </c>
      <c r="J165" s="141">
        <v>2.23</v>
      </c>
      <c r="K165" s="162">
        <f>IF(Главная!$P$9="Дол.",AY165,IF(Главная!$P$9="гривен.",AQ165,IF(Главная!$P$9="рублей.",AJ165,AQ165)))</f>
        <v>2.12</v>
      </c>
      <c r="L165" s="162">
        <f>IF(Главная!$P$9="Дол.",AZ165,IF(Главная!$P$9="гривен.",AR165,IF(Главная!$P$9="рублей.",AK165,AR165)))</f>
        <v>2.12</v>
      </c>
      <c r="M165" s="162">
        <f>IF(Главная!$P$9="Дол.",BA165,IF(Главная!$P$9="гривен.",AS165,IF(Главная!$P$9="рублей.",AL165,AS165)))</f>
        <v>2.12</v>
      </c>
      <c r="N165" s="162">
        <f>IF(Главная!$P$9="Дол.",BB165,IF(Главная!$P$9="гривен.",AT165,IF(Главная!$P$9="рублей.",AM165,AT165)))</f>
        <v>2.12</v>
      </c>
      <c r="O165" s="162">
        <f>IF(Главная!$P$9="Дол.",BC165,IF(Главная!$P$9="гривен.",AU165,IF(Главная!$P$9="рублей.",AN165,AU165)))</f>
        <v>2.12</v>
      </c>
      <c r="P165" s="141">
        <v>2.23</v>
      </c>
      <c r="Q165" s="141">
        <v>2.23</v>
      </c>
      <c r="AP165" s="144" t="s">
        <v>2354</v>
      </c>
      <c r="AQ165" s="141">
        <v>2.12</v>
      </c>
      <c r="AR165" s="141">
        <v>2.12</v>
      </c>
      <c r="AS165" s="141">
        <v>2.12</v>
      </c>
      <c r="AT165" s="141">
        <v>2.12</v>
      </c>
      <c r="AU165" s="141">
        <v>2.12</v>
      </c>
      <c r="AV165" s="141">
        <v>2.12</v>
      </c>
      <c r="AW165" s="141">
        <v>2.12</v>
      </c>
      <c r="AX165" s="126" t="s">
        <v>2586</v>
      </c>
    </row>
    <row r="166" spans="1:50" s="140" customFormat="1" ht="12.75" customHeight="1">
      <c r="A166" s="150" t="str">
        <f>IF(Главная!$P$9="Дол.",AX166,IF(Главная!$P$9="гривен.",AP166,IF(Главная!$P$9="рублей.",AI166,AP166)))</f>
        <v>Кременчуг</v>
      </c>
      <c r="B166" s="141">
        <v>2.12</v>
      </c>
      <c r="J166" s="141">
        <v>2.12</v>
      </c>
      <c r="K166" s="162">
        <f>IF(Главная!$P$9="Дол.",AY166,IF(Главная!$P$9="гривен.",AQ166,IF(Главная!$P$9="рублей.",AJ166,AQ166)))</f>
        <v>1.21</v>
      </c>
      <c r="L166" s="162">
        <f>IF(Главная!$P$9="Дол.",AZ166,IF(Главная!$P$9="гривен.",AR166,IF(Главная!$P$9="рублей.",AK166,AR166)))</f>
        <v>1.21</v>
      </c>
      <c r="M166" s="162">
        <f>IF(Главная!$P$9="Дол.",BA166,IF(Главная!$P$9="гривен.",AS166,IF(Главная!$P$9="рублей.",AL166,AS166)))</f>
        <v>1.21</v>
      </c>
      <c r="N166" s="162">
        <f>IF(Главная!$P$9="Дол.",BB166,IF(Главная!$P$9="гривен.",AT166,IF(Главная!$P$9="рублей.",AM166,AT166)))</f>
        <v>1.21</v>
      </c>
      <c r="O166" s="162">
        <f>IF(Главная!$P$9="Дол.",BC166,IF(Главная!$P$9="гривен.",AU166,IF(Главная!$P$9="рублей.",AN166,AU166)))</f>
        <v>1.21</v>
      </c>
      <c r="P166" s="141">
        <v>2.12</v>
      </c>
      <c r="Q166" s="141">
        <v>2.12</v>
      </c>
      <c r="AP166" s="144" t="s">
        <v>2353</v>
      </c>
      <c r="AQ166" s="141">
        <v>1.21</v>
      </c>
      <c r="AR166" s="141">
        <v>1.21</v>
      </c>
      <c r="AS166" s="141">
        <v>1.21</v>
      </c>
      <c r="AT166" s="141">
        <v>1.21</v>
      </c>
      <c r="AU166" s="141">
        <v>1.21</v>
      </c>
      <c r="AV166" s="141">
        <v>1.21</v>
      </c>
      <c r="AW166" s="141">
        <v>1.21</v>
      </c>
      <c r="AX166" s="126" t="s">
        <v>2587</v>
      </c>
    </row>
    <row r="167" spans="1:50" s="140" customFormat="1" ht="12.75" customHeight="1">
      <c r="A167" s="150" t="str">
        <f>IF(Главная!$P$9="Дол.",AX167,IF(Главная!$P$9="гривен.",AP167,IF(Главная!$P$9="рублей.",AI167,AP167)))</f>
        <v>Кривой Рог</v>
      </c>
      <c r="B167" s="141">
        <v>1.74</v>
      </c>
      <c r="J167" s="141">
        <v>1.74</v>
      </c>
      <c r="K167" s="162">
        <f>IF(Главная!$P$9="Дол.",AY167,IF(Главная!$P$9="гривен.",AQ167,IF(Главная!$P$9="рублей.",AJ167,AQ167)))</f>
        <v>1.74</v>
      </c>
      <c r="L167" s="162">
        <f>IF(Главная!$P$9="Дол.",AZ167,IF(Главная!$P$9="гривен.",AR167,IF(Главная!$P$9="рублей.",AK167,AR167)))</f>
        <v>1.74</v>
      </c>
      <c r="M167" s="162">
        <f>IF(Главная!$P$9="Дол.",BA167,IF(Главная!$P$9="гривен.",AS167,IF(Главная!$P$9="рублей.",AL167,AS167)))</f>
        <v>1.74</v>
      </c>
      <c r="N167" s="162">
        <f>IF(Главная!$P$9="Дол.",BB167,IF(Главная!$P$9="гривен.",AT167,IF(Главная!$P$9="рублей.",AM167,AT167)))</f>
        <v>1.74</v>
      </c>
      <c r="O167" s="162">
        <f>IF(Главная!$P$9="Дол.",BC167,IF(Главная!$P$9="гривен.",AU167,IF(Главная!$P$9="рублей.",AN167,AU167)))</f>
        <v>1.74</v>
      </c>
      <c r="P167" s="141">
        <v>1.74</v>
      </c>
      <c r="Q167" s="141">
        <v>1.74</v>
      </c>
      <c r="AP167" s="144" t="s">
        <v>2352</v>
      </c>
      <c r="AQ167" s="141">
        <v>1.74</v>
      </c>
      <c r="AR167" s="141">
        <v>1.74</v>
      </c>
      <c r="AS167" s="141">
        <v>1.74</v>
      </c>
      <c r="AT167" s="141">
        <v>1.74</v>
      </c>
      <c r="AU167" s="141">
        <v>1.74</v>
      </c>
      <c r="AV167" s="141">
        <v>1.74</v>
      </c>
      <c r="AW167" s="141">
        <v>1.74</v>
      </c>
      <c r="AX167" s="126" t="s">
        <v>2588</v>
      </c>
    </row>
    <row r="168" spans="1:50" s="140" customFormat="1" ht="12.75" customHeight="1">
      <c r="A168" s="150" t="str">
        <f>IF(Главная!$P$9="Дол.",AX168,IF(Главная!$P$9="гривен.",AP168,IF(Главная!$P$9="рублей.",AI168,AP168)))</f>
        <v>Крыжополь</v>
      </c>
      <c r="B168" s="141">
        <v>2.12</v>
      </c>
      <c r="J168" s="141">
        <v>2.12</v>
      </c>
      <c r="K168" s="162">
        <f>IF(Главная!$P$9="Дол.",AY168,IF(Главная!$P$9="гривен.",AQ168,IF(Главная!$P$9="рублей.",AJ168,AQ168)))</f>
        <v>2.59</v>
      </c>
      <c r="L168" s="162">
        <f>IF(Главная!$P$9="Дол.",AZ168,IF(Главная!$P$9="гривен.",AR168,IF(Главная!$P$9="рублей.",AK168,AR168)))</f>
        <v>2.59</v>
      </c>
      <c r="M168" s="162">
        <f>IF(Главная!$P$9="Дол.",BA168,IF(Главная!$P$9="гривен.",AS168,IF(Главная!$P$9="рублей.",AL168,AS168)))</f>
        <v>2.59</v>
      </c>
      <c r="N168" s="162">
        <f>IF(Главная!$P$9="Дол.",BB168,IF(Главная!$P$9="гривен.",AT168,IF(Главная!$P$9="рублей.",AM168,AT168)))</f>
        <v>2.59</v>
      </c>
      <c r="O168" s="162">
        <f>IF(Главная!$P$9="Дол.",BC168,IF(Главная!$P$9="гривен.",AU168,IF(Главная!$P$9="рублей.",AN168,AU168)))</f>
        <v>2.59</v>
      </c>
      <c r="P168" s="141">
        <v>2.12</v>
      </c>
      <c r="Q168" s="141">
        <v>2.12</v>
      </c>
      <c r="AP168" s="144" t="s">
        <v>2351</v>
      </c>
      <c r="AQ168" s="141">
        <v>2.59</v>
      </c>
      <c r="AR168" s="141">
        <v>2.59</v>
      </c>
      <c r="AS168" s="141">
        <v>2.59</v>
      </c>
      <c r="AT168" s="141">
        <v>2.59</v>
      </c>
      <c r="AU168" s="141">
        <v>2.59</v>
      </c>
      <c r="AV168" s="141">
        <v>2.59</v>
      </c>
      <c r="AW168" s="141">
        <v>2.59</v>
      </c>
      <c r="AX168" s="126" t="s">
        <v>2589</v>
      </c>
    </row>
    <row r="169" spans="1:50" s="140" customFormat="1" ht="12.75" customHeight="1">
      <c r="A169" s="150" t="str">
        <f>IF(Главная!$P$9="Дол.",AX169,IF(Главная!$P$9="гривен.",AP169,IF(Главная!$P$9="рублей.",AI169,AP169)))</f>
        <v>Кузнецовск</v>
      </c>
      <c r="B169" s="141">
        <v>1.74</v>
      </c>
      <c r="J169" s="141">
        <v>1.74</v>
      </c>
      <c r="K169" s="162">
        <f>IF(Главная!$P$9="Дол.",AY169,IF(Главная!$P$9="гривен.",AQ169,IF(Главная!$P$9="рублей.",AJ169,AQ169)))</f>
        <v>2.12</v>
      </c>
      <c r="L169" s="162">
        <f>IF(Главная!$P$9="Дол.",AZ169,IF(Главная!$P$9="гривен.",AR169,IF(Главная!$P$9="рублей.",AK169,AR169)))</f>
        <v>2.12</v>
      </c>
      <c r="M169" s="162">
        <f>IF(Главная!$P$9="Дол.",BA169,IF(Главная!$P$9="гривен.",AS169,IF(Главная!$P$9="рублей.",AL169,AS169)))</f>
        <v>2.12</v>
      </c>
      <c r="N169" s="162">
        <f>IF(Главная!$P$9="Дол.",BB169,IF(Главная!$P$9="гривен.",AT169,IF(Главная!$P$9="рублей.",AM169,AT169)))</f>
        <v>2.12</v>
      </c>
      <c r="O169" s="162">
        <f>IF(Главная!$P$9="Дол.",BC169,IF(Главная!$P$9="гривен.",AU169,IF(Главная!$P$9="рублей.",AN169,AU169)))</f>
        <v>2.12</v>
      </c>
      <c r="P169" s="141">
        <v>1.74</v>
      </c>
      <c r="Q169" s="141">
        <v>1.74</v>
      </c>
      <c r="AP169" s="144" t="s">
        <v>2350</v>
      </c>
      <c r="AQ169" s="141">
        <v>2.12</v>
      </c>
      <c r="AR169" s="141">
        <v>2.12</v>
      </c>
      <c r="AS169" s="141">
        <v>2.12</v>
      </c>
      <c r="AT169" s="141">
        <v>2.12</v>
      </c>
      <c r="AU169" s="141">
        <v>2.12</v>
      </c>
      <c r="AV169" s="141">
        <v>2.12</v>
      </c>
      <c r="AW169" s="141">
        <v>2.12</v>
      </c>
      <c r="AX169" s="126" t="s">
        <v>2590</v>
      </c>
    </row>
    <row r="170" spans="1:50" s="140" customFormat="1" ht="12.75" customHeight="1">
      <c r="A170" s="150" t="str">
        <f>IF(Главная!$P$9="Дол.",AX170,IF(Главная!$P$9="гривен.",AP170,IF(Главная!$P$9="рублей.",AI170,AP170)))</f>
        <v>Куйбышево</v>
      </c>
      <c r="B170" s="141">
        <v>1.74</v>
      </c>
      <c r="J170" s="141">
        <v>1.74</v>
      </c>
      <c r="K170" s="162">
        <f>IF(Главная!$P$9="Дол.",AY170,IF(Главная!$P$9="гривен.",AQ170,IF(Главная!$P$9="рублей.",AJ170,AQ170)))</f>
        <v>1.86</v>
      </c>
      <c r="L170" s="162">
        <f>IF(Главная!$P$9="Дол.",AZ170,IF(Главная!$P$9="гривен.",AR170,IF(Главная!$P$9="рублей.",AK170,AR170)))</f>
        <v>1.86</v>
      </c>
      <c r="M170" s="162">
        <f>IF(Главная!$P$9="Дол.",BA170,IF(Главная!$P$9="гривен.",AS170,IF(Главная!$P$9="рублей.",AL170,AS170)))</f>
        <v>1.86</v>
      </c>
      <c r="N170" s="162">
        <f>IF(Главная!$P$9="Дол.",BB170,IF(Главная!$P$9="гривен.",AT170,IF(Главная!$P$9="рублей.",AM170,AT170)))</f>
        <v>1.86</v>
      </c>
      <c r="O170" s="162">
        <f>IF(Главная!$P$9="Дол.",BC170,IF(Главная!$P$9="гривен.",AU170,IF(Главная!$P$9="рублей.",AN170,AU170)))</f>
        <v>1.86</v>
      </c>
      <c r="P170" s="141">
        <v>1.74</v>
      </c>
      <c r="Q170" s="141">
        <v>1.74</v>
      </c>
      <c r="AP170" s="144" t="s">
        <v>2349</v>
      </c>
      <c r="AQ170" s="141">
        <v>1.86</v>
      </c>
      <c r="AR170" s="141">
        <v>1.86</v>
      </c>
      <c r="AS170" s="141">
        <v>1.86</v>
      </c>
      <c r="AT170" s="141">
        <v>1.86</v>
      </c>
      <c r="AU170" s="141">
        <v>1.86</v>
      </c>
      <c r="AV170" s="141">
        <v>1.86</v>
      </c>
      <c r="AW170" s="141">
        <v>1.86</v>
      </c>
      <c r="AX170" s="126" t="s">
        <v>2583</v>
      </c>
    </row>
    <row r="171" spans="1:50" s="140" customFormat="1" ht="12.75" customHeight="1">
      <c r="A171" s="150" t="str">
        <f>IF(Главная!$P$9="Дол.",AX171,IF(Главная!$P$9="гривен.",AP171,IF(Главная!$P$9="рублей.",AI171,AP171)))</f>
        <v>Купянск</v>
      </c>
      <c r="B171" s="141">
        <v>1.74</v>
      </c>
      <c r="J171" s="141">
        <v>1.74</v>
      </c>
      <c r="K171" s="162">
        <f>IF(Главная!$P$9="Дол.",AY171,IF(Главная!$P$9="гривен.",AQ171,IF(Главная!$P$9="рублей.",AJ171,AQ171)))</f>
        <v>2.12</v>
      </c>
      <c r="L171" s="162">
        <f>IF(Главная!$P$9="Дол.",AZ171,IF(Главная!$P$9="гривен.",AR171,IF(Главная!$P$9="рублей.",AK171,AR171)))</f>
        <v>2.12</v>
      </c>
      <c r="M171" s="162">
        <f>IF(Главная!$P$9="Дол.",BA171,IF(Главная!$P$9="гривен.",AS171,IF(Главная!$P$9="рублей.",AL171,AS171)))</f>
        <v>2.12</v>
      </c>
      <c r="N171" s="162">
        <f>IF(Главная!$P$9="Дол.",BB171,IF(Главная!$P$9="гривен.",AT171,IF(Главная!$P$9="рублей.",AM171,AT171)))</f>
        <v>2.12</v>
      </c>
      <c r="O171" s="162">
        <f>IF(Главная!$P$9="Дол.",BC171,IF(Главная!$P$9="гривен.",AU171,IF(Главная!$P$9="рублей.",AN171,AU171)))</f>
        <v>2.12</v>
      </c>
      <c r="P171" s="141">
        <v>1.74</v>
      </c>
      <c r="Q171" s="141">
        <v>1.74</v>
      </c>
      <c r="AP171" s="144" t="s">
        <v>2348</v>
      </c>
      <c r="AQ171" s="141">
        <v>2.12</v>
      </c>
      <c r="AR171" s="141">
        <v>2.12</v>
      </c>
      <c r="AS171" s="141">
        <v>2.12</v>
      </c>
      <c r="AT171" s="141">
        <v>2.12</v>
      </c>
      <c r="AU171" s="141">
        <v>2.12</v>
      </c>
      <c r="AV171" s="141">
        <v>2.12</v>
      </c>
      <c r="AW171" s="141">
        <v>2.12</v>
      </c>
      <c r="AX171" s="126" t="s">
        <v>2584</v>
      </c>
    </row>
    <row r="172" spans="1:50" s="140" customFormat="1" ht="12.75" customHeight="1">
      <c r="A172" s="150" t="str">
        <f>IF(Главная!$P$9="Дол.",AX172,IF(Главная!$P$9="гривен.",AP172,IF(Главная!$P$9="рублей.",AI172,AP172)))</f>
        <v>Курахово</v>
      </c>
      <c r="B172" s="141">
        <v>2.12</v>
      </c>
      <c r="J172" s="141">
        <v>2.12</v>
      </c>
      <c r="K172" s="162">
        <f>IF(Главная!$P$9="Дол.",AY172,IF(Главная!$P$9="гривен.",AQ172,IF(Главная!$P$9="рублей.",AJ172,AQ172)))</f>
        <v>2.23</v>
      </c>
      <c r="L172" s="162">
        <f>IF(Главная!$P$9="Дол.",AZ172,IF(Главная!$P$9="гривен.",AR172,IF(Главная!$P$9="рублей.",AK172,AR172)))</f>
        <v>2.23</v>
      </c>
      <c r="M172" s="162">
        <f>IF(Главная!$P$9="Дол.",BA172,IF(Главная!$P$9="гривен.",AS172,IF(Главная!$P$9="рублей.",AL172,AS172)))</f>
        <v>2.23</v>
      </c>
      <c r="N172" s="162">
        <f>IF(Главная!$P$9="Дол.",BB172,IF(Главная!$P$9="гривен.",AT172,IF(Главная!$P$9="рублей.",AM172,AT172)))</f>
        <v>2.23</v>
      </c>
      <c r="O172" s="162">
        <f>IF(Главная!$P$9="Дол.",BC172,IF(Главная!$P$9="гривен.",AU172,IF(Главная!$P$9="рублей.",AN172,AU172)))</f>
        <v>2.23</v>
      </c>
      <c r="P172" s="141">
        <v>2.12</v>
      </c>
      <c r="Q172" s="141">
        <v>2.12</v>
      </c>
      <c r="AP172" s="144" t="s">
        <v>2347</v>
      </c>
      <c r="AQ172" s="141">
        <v>2.23</v>
      </c>
      <c r="AR172" s="141">
        <v>2.23</v>
      </c>
      <c r="AS172" s="141">
        <v>2.23</v>
      </c>
      <c r="AT172" s="141">
        <v>2.23</v>
      </c>
      <c r="AU172" s="141">
        <v>2.23</v>
      </c>
      <c r="AV172" s="141">
        <v>2.23</v>
      </c>
      <c r="AW172" s="141">
        <v>2.23</v>
      </c>
      <c r="AX172" s="126" t="s">
        <v>2585</v>
      </c>
    </row>
    <row r="173" spans="1:50" s="140" customFormat="1" ht="12.75" customHeight="1">
      <c r="A173" s="150" t="str">
        <f>IF(Главная!$P$9="Дол.",AX173,IF(Главная!$P$9="гривен.",AP173,IF(Главная!$P$9="рублей.",AI173,AP173)))</f>
        <v>Кучурган</v>
      </c>
      <c r="B173" s="141">
        <v>1.86</v>
      </c>
      <c r="J173" s="141">
        <v>1.86</v>
      </c>
      <c r="K173" s="162">
        <f>IF(Главная!$P$9="Дол.",AY173,IF(Главная!$P$9="гривен.",AQ173,IF(Главная!$P$9="рублей.",AJ173,AQ173)))</f>
        <v>1.86</v>
      </c>
      <c r="L173" s="162">
        <f>IF(Главная!$P$9="Дол.",AZ173,IF(Главная!$P$9="гривен.",AR173,IF(Главная!$P$9="рублей.",AK173,AR173)))</f>
        <v>1.86</v>
      </c>
      <c r="M173" s="162">
        <f>IF(Главная!$P$9="Дол.",BA173,IF(Главная!$P$9="гривен.",AS173,IF(Главная!$P$9="рублей.",AL173,AS173)))</f>
        <v>1.86</v>
      </c>
      <c r="N173" s="162">
        <f>IF(Главная!$P$9="Дол.",BB173,IF(Главная!$P$9="гривен.",AT173,IF(Главная!$P$9="рублей.",AM173,AT173)))</f>
        <v>1.86</v>
      </c>
      <c r="O173" s="162">
        <f>IF(Главная!$P$9="Дол.",BC173,IF(Главная!$P$9="гривен.",AU173,IF(Главная!$P$9="рублей.",AN173,AU173)))</f>
        <v>1.86</v>
      </c>
      <c r="P173" s="141">
        <v>1.86</v>
      </c>
      <c r="Q173" s="141">
        <v>1.86</v>
      </c>
      <c r="AP173" s="144" t="s">
        <v>2346</v>
      </c>
      <c r="AQ173" s="141">
        <v>1.86</v>
      </c>
      <c r="AR173" s="141">
        <v>1.86</v>
      </c>
      <c r="AS173" s="141">
        <v>1.86</v>
      </c>
      <c r="AT173" s="141">
        <v>1.86</v>
      </c>
      <c r="AU173" s="141">
        <v>1.86</v>
      </c>
      <c r="AV173" s="141">
        <v>1.86</v>
      </c>
      <c r="AW173" s="141">
        <v>1.86</v>
      </c>
      <c r="AX173" s="126" t="s">
        <v>2586</v>
      </c>
    </row>
    <row r="174" spans="1:50" s="140" customFormat="1" ht="12.75" customHeight="1">
      <c r="A174" s="150" t="str">
        <f>IF(Главная!$P$9="Дол.",AX174,IF(Главная!$P$9="гривен.",AP174,IF(Главная!$P$9="рублей.",AI174,AP174)))</f>
        <v>Ладыжин</v>
      </c>
      <c r="B174" s="146">
        <v>1.5</v>
      </c>
      <c r="J174" s="146">
        <v>1.5</v>
      </c>
      <c r="K174" s="162">
        <f>IF(Главная!$P$9="Дол.",AY174,IF(Главная!$P$9="гривен.",AQ174,IF(Главная!$P$9="рублей.",AJ174,AQ174)))</f>
        <v>2.59</v>
      </c>
      <c r="L174" s="162">
        <f>IF(Главная!$P$9="Дол.",AZ174,IF(Главная!$P$9="гривен.",AR174,IF(Главная!$P$9="рублей.",AK174,AR174)))</f>
        <v>2.59</v>
      </c>
      <c r="M174" s="162">
        <f>IF(Главная!$P$9="Дол.",BA174,IF(Главная!$P$9="гривен.",AS174,IF(Главная!$P$9="рублей.",AL174,AS174)))</f>
        <v>2.59</v>
      </c>
      <c r="N174" s="162">
        <f>IF(Главная!$P$9="Дол.",BB174,IF(Главная!$P$9="гривен.",AT174,IF(Главная!$P$9="рублей.",AM174,AT174)))</f>
        <v>2.59</v>
      </c>
      <c r="O174" s="162">
        <f>IF(Главная!$P$9="Дол.",BC174,IF(Главная!$P$9="гривен.",AU174,IF(Главная!$P$9="рублей.",AN174,AU174)))</f>
        <v>2.59</v>
      </c>
      <c r="P174" s="146">
        <v>1.5</v>
      </c>
      <c r="Q174" s="146">
        <v>1.5</v>
      </c>
      <c r="AP174" s="144" t="s">
        <v>2345</v>
      </c>
      <c r="AQ174" s="141">
        <v>2.59</v>
      </c>
      <c r="AR174" s="141">
        <v>2.59</v>
      </c>
      <c r="AS174" s="141">
        <v>2.59</v>
      </c>
      <c r="AT174" s="141">
        <v>2.59</v>
      </c>
      <c r="AU174" s="141">
        <v>2.59</v>
      </c>
      <c r="AV174" s="141">
        <v>2.59</v>
      </c>
      <c r="AW174" s="141">
        <v>2.59</v>
      </c>
      <c r="AX174" s="126" t="s">
        <v>2587</v>
      </c>
    </row>
    <row r="175" spans="1:50" s="140" customFormat="1" ht="12.75" customHeight="1">
      <c r="A175" s="150" t="str">
        <f>IF(Главная!$P$9="Дол.",AX175,IF(Главная!$P$9="гривен.",AP175,IF(Главная!$P$9="рублей.",AI175,AP175)))</f>
        <v>Лебедин</v>
      </c>
      <c r="B175" s="141">
        <v>2.23</v>
      </c>
      <c r="J175" s="141">
        <v>2.23</v>
      </c>
      <c r="K175" s="162">
        <f>IF(Главная!$P$9="Дол.",AY175,IF(Главная!$P$9="гривен.",AQ175,IF(Главная!$P$9="рублей.",AJ175,AQ175)))</f>
        <v>1.21</v>
      </c>
      <c r="L175" s="162">
        <f>IF(Главная!$P$9="Дол.",AZ175,IF(Главная!$P$9="гривен.",AR175,IF(Главная!$P$9="рублей.",AK175,AR175)))</f>
        <v>1.21</v>
      </c>
      <c r="M175" s="162">
        <f>IF(Главная!$P$9="Дол.",BA175,IF(Главная!$P$9="гривен.",AS175,IF(Главная!$P$9="рублей.",AL175,AS175)))</f>
        <v>1.21</v>
      </c>
      <c r="N175" s="162">
        <f>IF(Главная!$P$9="Дол.",BB175,IF(Главная!$P$9="гривен.",AT175,IF(Главная!$P$9="рублей.",AM175,AT175)))</f>
        <v>1.21</v>
      </c>
      <c r="O175" s="162">
        <f>IF(Главная!$P$9="Дол.",BC175,IF(Главная!$P$9="гривен.",AU175,IF(Главная!$P$9="рублей.",AN175,AU175)))</f>
        <v>1.21</v>
      </c>
      <c r="P175" s="141">
        <v>2.23</v>
      </c>
      <c r="Q175" s="141">
        <v>2.23</v>
      </c>
      <c r="AP175" s="144" t="s">
        <v>2344</v>
      </c>
      <c r="AQ175" s="141">
        <v>1.21</v>
      </c>
      <c r="AR175" s="141">
        <v>1.21</v>
      </c>
      <c r="AS175" s="141">
        <v>1.21</v>
      </c>
      <c r="AT175" s="141">
        <v>1.21</v>
      </c>
      <c r="AU175" s="141">
        <v>1.21</v>
      </c>
      <c r="AV175" s="141">
        <v>1.21</v>
      </c>
      <c r="AW175" s="141">
        <v>1.21</v>
      </c>
      <c r="AX175" s="126" t="s">
        <v>2588</v>
      </c>
    </row>
    <row r="176" spans="1:50" s="140" customFormat="1" ht="12.75" customHeight="1">
      <c r="A176" s="150" t="str">
        <f>IF(Главная!$P$9="Дол.",AX176,IF(Главная!$P$9="гривен.",AP176,IF(Главная!$P$9="рублей.",AI176,AP176)))</f>
        <v>Лисичанск</v>
      </c>
      <c r="B176" s="141">
        <v>2.12</v>
      </c>
      <c r="J176" s="141">
        <v>2.12</v>
      </c>
      <c r="K176" s="162">
        <f>IF(Главная!$P$9="Дол.",AY176,IF(Главная!$P$9="гривен.",AQ176,IF(Главная!$P$9="рублей.",AJ176,AQ176)))</f>
        <v>1.86</v>
      </c>
      <c r="L176" s="162">
        <f>IF(Главная!$P$9="Дол.",AZ176,IF(Главная!$P$9="гривен.",AR176,IF(Главная!$P$9="рублей.",AK176,AR176)))</f>
        <v>1.86</v>
      </c>
      <c r="M176" s="162">
        <f>IF(Главная!$P$9="Дол.",BA176,IF(Главная!$P$9="гривен.",AS176,IF(Главная!$P$9="рублей.",AL176,AS176)))</f>
        <v>1.86</v>
      </c>
      <c r="N176" s="162">
        <f>IF(Главная!$P$9="Дол.",BB176,IF(Главная!$P$9="гривен.",AT176,IF(Главная!$P$9="рублей.",AM176,AT176)))</f>
        <v>1.86</v>
      </c>
      <c r="O176" s="162">
        <f>IF(Главная!$P$9="Дол.",BC176,IF(Главная!$P$9="гривен.",AU176,IF(Главная!$P$9="рублей.",AN176,AU176)))</f>
        <v>1.86</v>
      </c>
      <c r="P176" s="141">
        <v>2.12</v>
      </c>
      <c r="Q176" s="141">
        <v>2.12</v>
      </c>
      <c r="AP176" s="144" t="s">
        <v>2343</v>
      </c>
      <c r="AQ176" s="141">
        <v>1.86</v>
      </c>
      <c r="AR176" s="141">
        <v>1.86</v>
      </c>
      <c r="AS176" s="141">
        <v>1.86</v>
      </c>
      <c r="AT176" s="141">
        <v>1.86</v>
      </c>
      <c r="AU176" s="141">
        <v>1.86</v>
      </c>
      <c r="AV176" s="141">
        <v>1.86</v>
      </c>
      <c r="AW176" s="141">
        <v>1.86</v>
      </c>
      <c r="AX176" s="126" t="s">
        <v>2589</v>
      </c>
    </row>
    <row r="177" spans="1:50" s="140" customFormat="1" ht="12.75" customHeight="1">
      <c r="A177" s="150" t="str">
        <f>IF(Главная!$P$9="Дол.",AX177,IF(Главная!$P$9="гривен.",AP177,IF(Главная!$P$9="рублей.",AI177,AP177)))</f>
        <v>Лозовая</v>
      </c>
      <c r="B177" s="141">
        <v>1.74</v>
      </c>
      <c r="J177" s="141">
        <v>1.74</v>
      </c>
      <c r="K177" s="162">
        <f>IF(Главная!$P$9="Дол.",AY177,IF(Главная!$P$9="гривен.",AQ177,IF(Главная!$P$9="рублей.",AJ177,AQ177)))</f>
        <v>0.7</v>
      </c>
      <c r="L177" s="162">
        <f>IF(Главная!$P$9="Дол.",AZ177,IF(Главная!$P$9="гривен.",AR177,IF(Главная!$P$9="рублей.",AK177,AR177)))</f>
        <v>0.7</v>
      </c>
      <c r="M177" s="162">
        <f>IF(Главная!$P$9="Дол.",BA177,IF(Главная!$P$9="гривен.",AS177,IF(Главная!$P$9="рублей.",AL177,AS177)))</f>
        <v>0.7</v>
      </c>
      <c r="N177" s="162">
        <f>IF(Главная!$P$9="Дол.",BB177,IF(Главная!$P$9="гривен.",AT177,IF(Главная!$P$9="рублей.",AM177,AT177)))</f>
        <v>0.7</v>
      </c>
      <c r="O177" s="162">
        <f>IF(Главная!$P$9="Дол.",BC177,IF(Главная!$P$9="гривен.",AU177,IF(Главная!$P$9="рублей.",AN177,AU177)))</f>
        <v>0.7</v>
      </c>
      <c r="P177" s="141">
        <v>1.74</v>
      </c>
      <c r="Q177" s="141">
        <v>1.74</v>
      </c>
      <c r="AP177" s="144" t="s">
        <v>2342</v>
      </c>
      <c r="AQ177" s="141">
        <v>0.7</v>
      </c>
      <c r="AR177" s="141">
        <v>0.7</v>
      </c>
      <c r="AS177" s="141">
        <v>0.7</v>
      </c>
      <c r="AT177" s="141">
        <v>0.7</v>
      </c>
      <c r="AU177" s="141">
        <v>0.7</v>
      </c>
      <c r="AV177" s="141">
        <v>0.7</v>
      </c>
      <c r="AW177" s="141">
        <v>0.7</v>
      </c>
      <c r="AX177" s="126" t="s">
        <v>2590</v>
      </c>
    </row>
    <row r="178" spans="1:50" s="140" customFormat="1" ht="12.75" customHeight="1">
      <c r="A178" s="150" t="str">
        <f>IF(Главная!$P$9="Дол.",AX178,IF(Главная!$P$9="гривен.",AP178,IF(Главная!$P$9="рублей.",AI178,AP178)))</f>
        <v>Лохвица</v>
      </c>
      <c r="B178" s="141">
        <v>2.59</v>
      </c>
      <c r="J178" s="141">
        <v>2.59</v>
      </c>
      <c r="K178" s="162">
        <f>IF(Главная!$P$9="Дол.",AY178,IF(Главная!$P$9="гривен.",AQ178,IF(Главная!$P$9="рублей.",AJ178,AQ178)))</f>
        <v>1.47</v>
      </c>
      <c r="L178" s="162">
        <f>IF(Главная!$P$9="Дол.",AZ178,IF(Главная!$P$9="гривен.",AR178,IF(Главная!$P$9="рублей.",AK178,AR178)))</f>
        <v>1.47</v>
      </c>
      <c r="M178" s="162">
        <f>IF(Главная!$P$9="Дол.",BA178,IF(Главная!$P$9="гривен.",AS178,IF(Главная!$P$9="рублей.",AL178,AS178)))</f>
        <v>1.47</v>
      </c>
      <c r="N178" s="162">
        <f>IF(Главная!$P$9="Дол.",BB178,IF(Главная!$P$9="гривен.",AT178,IF(Главная!$P$9="рублей.",AM178,AT178)))</f>
        <v>1.47</v>
      </c>
      <c r="O178" s="162">
        <f>IF(Главная!$P$9="Дол.",BC178,IF(Главная!$P$9="гривен.",AU178,IF(Главная!$P$9="рублей.",AN178,AU178)))</f>
        <v>1.47</v>
      </c>
      <c r="P178" s="141">
        <v>2.59</v>
      </c>
      <c r="Q178" s="141">
        <v>2.59</v>
      </c>
      <c r="AP178" s="144" t="s">
        <v>2341</v>
      </c>
      <c r="AQ178" s="141">
        <v>1.47</v>
      </c>
      <c r="AR178" s="141">
        <v>1.47</v>
      </c>
      <c r="AS178" s="141">
        <v>1.47</v>
      </c>
      <c r="AT178" s="141">
        <v>1.47</v>
      </c>
      <c r="AU178" s="141">
        <v>1.47</v>
      </c>
      <c r="AV178" s="141">
        <v>1.47</v>
      </c>
      <c r="AW178" s="141">
        <v>1.47</v>
      </c>
      <c r="AX178" s="126" t="s">
        <v>2583</v>
      </c>
    </row>
    <row r="179" spans="1:50" s="140" customFormat="1" ht="12.75" customHeight="1">
      <c r="A179" s="150" t="str">
        <f>IF(Главная!$P$9="Дол.",AX179,IF(Главная!$P$9="гривен.",AP179,IF(Главная!$P$9="рублей.",AI179,AP179)))</f>
        <v>Лубны</v>
      </c>
      <c r="B179" s="141">
        <v>1.74</v>
      </c>
      <c r="J179" s="141">
        <v>1.74</v>
      </c>
      <c r="K179" s="162">
        <f>IF(Главная!$P$9="Дол.",AY179,IF(Главная!$P$9="гривен.",AQ179,IF(Главная!$P$9="рублей.",AJ179,AQ179)))</f>
        <v>1.21</v>
      </c>
      <c r="L179" s="162">
        <f>IF(Главная!$P$9="Дол.",AZ179,IF(Главная!$P$9="гривен.",AR179,IF(Главная!$P$9="рублей.",AK179,AR179)))</f>
        <v>1.21</v>
      </c>
      <c r="M179" s="162">
        <f>IF(Главная!$P$9="Дол.",BA179,IF(Главная!$P$9="гривен.",AS179,IF(Главная!$P$9="рублей.",AL179,AS179)))</f>
        <v>1.21</v>
      </c>
      <c r="N179" s="162">
        <f>IF(Главная!$P$9="Дол.",BB179,IF(Главная!$P$9="гривен.",AT179,IF(Главная!$P$9="рублей.",AM179,AT179)))</f>
        <v>1.21</v>
      </c>
      <c r="O179" s="162">
        <f>IF(Главная!$P$9="Дол.",BC179,IF(Главная!$P$9="гривен.",AU179,IF(Главная!$P$9="рублей.",AN179,AU179)))</f>
        <v>1.21</v>
      </c>
      <c r="P179" s="141">
        <v>1.74</v>
      </c>
      <c r="Q179" s="141">
        <v>1.74</v>
      </c>
      <c r="AP179" s="144" t="s">
        <v>2340</v>
      </c>
      <c r="AQ179" s="141">
        <v>1.21</v>
      </c>
      <c r="AR179" s="141">
        <v>1.21</v>
      </c>
      <c r="AS179" s="141">
        <v>1.21</v>
      </c>
      <c r="AT179" s="141">
        <v>1.21</v>
      </c>
      <c r="AU179" s="141">
        <v>1.21</v>
      </c>
      <c r="AV179" s="141">
        <v>1.21</v>
      </c>
      <c r="AW179" s="141">
        <v>1.21</v>
      </c>
      <c r="AX179" s="126" t="s">
        <v>2584</v>
      </c>
    </row>
    <row r="180" spans="1:50" s="140" customFormat="1" ht="12.75" customHeight="1">
      <c r="A180" s="150" t="str">
        <f>IF(Главная!$P$9="Дол.",AX180,IF(Главная!$P$9="гривен.",AP180,IF(Главная!$P$9="рублей.",AI180,AP180)))</f>
        <v>Луганск</v>
      </c>
      <c r="B180" s="141">
        <v>1.74</v>
      </c>
      <c r="J180" s="141">
        <v>1.74</v>
      </c>
      <c r="K180" s="162">
        <f>IF(Главная!$P$9="Дол.",AY180,IF(Главная!$P$9="гривен.",AQ180,IF(Главная!$P$9="рублей.",AJ180,AQ180)))</f>
        <v>2.12</v>
      </c>
      <c r="L180" s="162">
        <f>IF(Главная!$P$9="Дол.",AZ180,IF(Главная!$P$9="гривен.",AR180,IF(Главная!$P$9="рублей.",AK180,AR180)))</f>
        <v>2.12</v>
      </c>
      <c r="M180" s="162">
        <f>IF(Главная!$P$9="Дол.",BA180,IF(Главная!$P$9="гривен.",AS180,IF(Главная!$P$9="рублей.",AL180,AS180)))</f>
        <v>2.12</v>
      </c>
      <c r="N180" s="162">
        <f>IF(Главная!$P$9="Дол.",BB180,IF(Главная!$P$9="гривен.",AT180,IF(Главная!$P$9="рублей.",AM180,AT180)))</f>
        <v>2.12</v>
      </c>
      <c r="O180" s="162">
        <f>IF(Главная!$P$9="Дол.",BC180,IF(Главная!$P$9="гривен.",AU180,IF(Главная!$P$9="рублей.",AN180,AU180)))</f>
        <v>2.12</v>
      </c>
      <c r="P180" s="141">
        <v>1.74</v>
      </c>
      <c r="Q180" s="141">
        <v>1.74</v>
      </c>
      <c r="AP180" s="144" t="s">
        <v>2339</v>
      </c>
      <c r="AQ180" s="141">
        <v>2.12</v>
      </c>
      <c r="AR180" s="141">
        <v>2.12</v>
      </c>
      <c r="AS180" s="141">
        <v>2.12</v>
      </c>
      <c r="AT180" s="141">
        <v>2.12</v>
      </c>
      <c r="AU180" s="141">
        <v>2.12</v>
      </c>
      <c r="AV180" s="141">
        <v>2.12</v>
      </c>
      <c r="AW180" s="141">
        <v>2.12</v>
      </c>
      <c r="AX180" s="126" t="s">
        <v>2585</v>
      </c>
    </row>
    <row r="181" spans="1:50" s="140" customFormat="1" ht="12.75" customHeight="1">
      <c r="A181" s="150" t="str">
        <f>IF(Главная!$P$9="Дол.",AX181,IF(Главная!$P$9="гривен.",AP181,IF(Главная!$P$9="рублей.",AI181,AP181)))</f>
        <v>Луцк</v>
      </c>
      <c r="B181" s="141">
        <v>1.74</v>
      </c>
      <c r="J181" s="141">
        <v>1.74</v>
      </c>
      <c r="K181" s="162">
        <f>IF(Главная!$P$9="Дол.",AY181,IF(Главная!$P$9="гривен.",AQ181,IF(Главная!$P$9="рублей.",AJ181,AQ181)))</f>
        <v>2.12</v>
      </c>
      <c r="L181" s="162">
        <f>IF(Главная!$P$9="Дол.",AZ181,IF(Главная!$P$9="гривен.",AR181,IF(Главная!$P$9="рублей.",AK181,AR181)))</f>
        <v>2.12</v>
      </c>
      <c r="M181" s="162">
        <f>IF(Главная!$P$9="Дол.",BA181,IF(Главная!$P$9="гривен.",AS181,IF(Главная!$P$9="рублей.",AL181,AS181)))</f>
        <v>2.12</v>
      </c>
      <c r="N181" s="162">
        <f>IF(Главная!$P$9="Дол.",BB181,IF(Главная!$P$9="гривен.",AT181,IF(Главная!$P$9="рублей.",AM181,AT181)))</f>
        <v>2.12</v>
      </c>
      <c r="O181" s="162">
        <f>IF(Главная!$P$9="Дол.",BC181,IF(Главная!$P$9="гривен.",AU181,IF(Главная!$P$9="рублей.",AN181,AU181)))</f>
        <v>2.12</v>
      </c>
      <c r="P181" s="141">
        <v>1.74</v>
      </c>
      <c r="Q181" s="141">
        <v>1.74</v>
      </c>
      <c r="AP181" s="144" t="s">
        <v>2338</v>
      </c>
      <c r="AQ181" s="141">
        <v>2.12</v>
      </c>
      <c r="AR181" s="141">
        <v>2.12</v>
      </c>
      <c r="AS181" s="141">
        <v>2.12</v>
      </c>
      <c r="AT181" s="141">
        <v>2.12</v>
      </c>
      <c r="AU181" s="141">
        <v>2.12</v>
      </c>
      <c r="AV181" s="141">
        <v>2.12</v>
      </c>
      <c r="AW181" s="141">
        <v>2.12</v>
      </c>
      <c r="AX181" s="126" t="s">
        <v>2586</v>
      </c>
    </row>
    <row r="182" spans="1:50" s="140" customFormat="1" ht="12.75" customHeight="1">
      <c r="A182" s="150" t="str">
        <f>IF(Главная!$P$9="Дол.",AX182,IF(Главная!$P$9="гривен.",AP182,IF(Главная!$P$9="рублей.",AI182,AP182)))</f>
        <v>Лысянка</v>
      </c>
      <c r="B182" s="141">
        <v>1.21</v>
      </c>
      <c r="J182" s="141">
        <v>1.21</v>
      </c>
      <c r="K182" s="162">
        <f>IF(Главная!$P$9="Дол.",AY182,IF(Главная!$P$9="гривен.",AQ182,IF(Главная!$P$9="рублей.",AJ182,AQ182)))</f>
        <v>1.21</v>
      </c>
      <c r="L182" s="162">
        <f>IF(Главная!$P$9="Дол.",AZ182,IF(Главная!$P$9="гривен.",AR182,IF(Главная!$P$9="рублей.",AK182,AR182)))</f>
        <v>1.21</v>
      </c>
      <c r="M182" s="162">
        <f>IF(Главная!$P$9="Дол.",BA182,IF(Главная!$P$9="гривен.",AS182,IF(Главная!$P$9="рублей.",AL182,AS182)))</f>
        <v>1.21</v>
      </c>
      <c r="N182" s="162">
        <f>IF(Главная!$P$9="Дол.",BB182,IF(Главная!$P$9="гривен.",AT182,IF(Главная!$P$9="рублей.",AM182,AT182)))</f>
        <v>1.21</v>
      </c>
      <c r="O182" s="162">
        <f>IF(Главная!$P$9="Дол.",BC182,IF(Главная!$P$9="гривен.",AU182,IF(Главная!$P$9="рублей.",AN182,AU182)))</f>
        <v>1.21</v>
      </c>
      <c r="P182" s="141">
        <v>1.21</v>
      </c>
      <c r="Q182" s="141">
        <v>1.21</v>
      </c>
      <c r="AP182" s="144" t="s">
        <v>2337</v>
      </c>
      <c r="AQ182" s="141">
        <v>1.21</v>
      </c>
      <c r="AR182" s="141">
        <v>1.21</v>
      </c>
      <c r="AS182" s="141">
        <v>1.21</v>
      </c>
      <c r="AT182" s="141">
        <v>1.21</v>
      </c>
      <c r="AU182" s="141">
        <v>1.21</v>
      </c>
      <c r="AV182" s="141">
        <v>1.21</v>
      </c>
      <c r="AW182" s="141">
        <v>1.21</v>
      </c>
      <c r="AX182" s="126" t="s">
        <v>2587</v>
      </c>
    </row>
    <row r="183" spans="1:50" s="140" customFormat="1" ht="12.75" customHeight="1">
      <c r="A183" s="150" t="str">
        <f>IF(Главная!$P$9="Дол.",AX183,IF(Главная!$P$9="гривен.",AP183,IF(Главная!$P$9="рублей.",AI183,AP183)))</f>
        <v>Львов</v>
      </c>
      <c r="B183" s="141">
        <v>1.21</v>
      </c>
      <c r="J183" s="141">
        <v>1.21</v>
      </c>
      <c r="K183" s="162">
        <f>IF(Главная!$P$9="Дол.",AY183,IF(Главная!$P$9="гривен.",AQ183,IF(Главная!$P$9="рублей.",AJ183,AQ183)))</f>
        <v>2.12</v>
      </c>
      <c r="L183" s="162">
        <f>IF(Главная!$P$9="Дол.",AZ183,IF(Главная!$P$9="гривен.",AR183,IF(Главная!$P$9="рублей.",AK183,AR183)))</f>
        <v>2.12</v>
      </c>
      <c r="M183" s="162">
        <f>IF(Главная!$P$9="Дол.",BA183,IF(Главная!$P$9="гривен.",AS183,IF(Главная!$P$9="рублей.",AL183,AS183)))</f>
        <v>2.12</v>
      </c>
      <c r="N183" s="162">
        <f>IF(Главная!$P$9="Дол.",BB183,IF(Главная!$P$9="гривен.",AT183,IF(Главная!$P$9="рублей.",AM183,AT183)))</f>
        <v>2.12</v>
      </c>
      <c r="O183" s="162">
        <f>IF(Главная!$P$9="Дол.",BC183,IF(Главная!$P$9="гривен.",AU183,IF(Главная!$P$9="рублей.",AN183,AU183)))</f>
        <v>2.12</v>
      </c>
      <c r="P183" s="141">
        <v>1.21</v>
      </c>
      <c r="Q183" s="141">
        <v>1.21</v>
      </c>
      <c r="AP183" s="144" t="s">
        <v>2336</v>
      </c>
      <c r="AQ183" s="141">
        <v>2.12</v>
      </c>
      <c r="AR183" s="141">
        <v>2.12</v>
      </c>
      <c r="AS183" s="141">
        <v>2.12</v>
      </c>
      <c r="AT183" s="141">
        <v>2.12</v>
      </c>
      <c r="AU183" s="141">
        <v>2.12</v>
      </c>
      <c r="AV183" s="141">
        <v>2.12</v>
      </c>
      <c r="AW183" s="141">
        <v>2.12</v>
      </c>
      <c r="AX183" s="126" t="s">
        <v>2588</v>
      </c>
    </row>
    <row r="184" spans="1:50" s="140" customFormat="1" ht="12.75" customHeight="1">
      <c r="A184" s="150" t="str">
        <f>IF(Главная!$P$9="Дол.",AX184,IF(Главная!$P$9="гривен.",AP184,IF(Главная!$P$9="рублей.",AI184,AP184)))</f>
        <v>Любомль</v>
      </c>
      <c r="B184" s="141">
        <v>1.21</v>
      </c>
      <c r="J184" s="141">
        <v>1.21</v>
      </c>
      <c r="K184" s="162">
        <f>IF(Главная!$P$9="Дол.",AY184,IF(Главная!$P$9="гривен.",AQ184,IF(Главная!$P$9="рублей.",AJ184,AQ184)))</f>
        <v>2.12</v>
      </c>
      <c r="L184" s="162">
        <f>IF(Главная!$P$9="Дол.",AZ184,IF(Главная!$P$9="гривен.",AR184,IF(Главная!$P$9="рублей.",AK184,AR184)))</f>
        <v>2.12</v>
      </c>
      <c r="M184" s="162">
        <f>IF(Главная!$P$9="Дол.",BA184,IF(Главная!$P$9="гривен.",AS184,IF(Главная!$P$9="рублей.",AL184,AS184)))</f>
        <v>2.12</v>
      </c>
      <c r="N184" s="162">
        <f>IF(Главная!$P$9="Дол.",BB184,IF(Главная!$P$9="гривен.",AT184,IF(Главная!$P$9="рублей.",AM184,AT184)))</f>
        <v>2.12</v>
      </c>
      <c r="O184" s="162">
        <f>IF(Главная!$P$9="Дол.",BC184,IF(Главная!$P$9="гривен.",AU184,IF(Главная!$P$9="рублей.",AN184,AU184)))</f>
        <v>2.12</v>
      </c>
      <c r="P184" s="141">
        <v>1.21</v>
      </c>
      <c r="Q184" s="141">
        <v>1.21</v>
      </c>
      <c r="AP184" s="144" t="s">
        <v>2335</v>
      </c>
      <c r="AQ184" s="141">
        <v>2.12</v>
      </c>
      <c r="AR184" s="141">
        <v>2.12</v>
      </c>
      <c r="AS184" s="141">
        <v>2.12</v>
      </c>
      <c r="AT184" s="141">
        <v>2.12</v>
      </c>
      <c r="AU184" s="141">
        <v>2.12</v>
      </c>
      <c r="AV184" s="141">
        <v>2.12</v>
      </c>
      <c r="AW184" s="141">
        <v>2.12</v>
      </c>
      <c r="AX184" s="126" t="s">
        <v>2589</v>
      </c>
    </row>
    <row r="185" spans="1:50" s="140" customFormat="1" ht="12.75" customHeight="1">
      <c r="A185" s="150" t="str">
        <f>IF(Главная!$P$9="Дол.",AX185,IF(Главная!$P$9="гривен.",AP185,IF(Главная!$P$9="рублей.",AI185,AP185)))</f>
        <v>Макаров</v>
      </c>
      <c r="B185" s="141">
        <v>1.74</v>
      </c>
      <c r="J185" s="141">
        <v>1.74</v>
      </c>
      <c r="K185" s="162">
        <f>IF(Главная!$P$9="Дол.",AY185,IF(Главная!$P$9="гривен.",AQ185,IF(Главная!$P$9="рублей.",AJ185,AQ185)))</f>
        <v>1.86</v>
      </c>
      <c r="L185" s="162">
        <f>IF(Главная!$P$9="Дол.",AZ185,IF(Главная!$P$9="гривен.",AR185,IF(Главная!$P$9="рублей.",AK185,AR185)))</f>
        <v>1.86</v>
      </c>
      <c r="M185" s="162">
        <f>IF(Главная!$P$9="Дол.",BA185,IF(Главная!$P$9="гривен.",AS185,IF(Главная!$P$9="рублей.",AL185,AS185)))</f>
        <v>1.86</v>
      </c>
      <c r="N185" s="162">
        <f>IF(Главная!$P$9="Дол.",BB185,IF(Главная!$P$9="гривен.",AT185,IF(Главная!$P$9="рублей.",AM185,AT185)))</f>
        <v>1.86</v>
      </c>
      <c r="O185" s="162">
        <f>IF(Главная!$P$9="Дол.",BC185,IF(Главная!$P$9="гривен.",AU185,IF(Главная!$P$9="рублей.",AN185,AU185)))</f>
        <v>1.86</v>
      </c>
      <c r="P185" s="141">
        <v>1.74</v>
      </c>
      <c r="Q185" s="141">
        <v>1.74</v>
      </c>
      <c r="AP185" s="144" t="s">
        <v>1070</v>
      </c>
      <c r="AQ185" s="141">
        <v>1.86</v>
      </c>
      <c r="AR185" s="141">
        <v>1.86</v>
      </c>
      <c r="AS185" s="141">
        <v>1.86</v>
      </c>
      <c r="AT185" s="141">
        <v>1.86</v>
      </c>
      <c r="AU185" s="141">
        <v>1.86</v>
      </c>
      <c r="AV185" s="141">
        <v>1.86</v>
      </c>
      <c r="AW185" s="141">
        <v>1.86</v>
      </c>
      <c r="AX185" s="126" t="s">
        <v>2590</v>
      </c>
    </row>
    <row r="186" spans="1:50" s="140" customFormat="1" ht="12.75" customHeight="1">
      <c r="A186" s="150" t="str">
        <f>IF(Главная!$P$9="Дол.",AX186,IF(Главная!$P$9="гривен.",AP186,IF(Главная!$P$9="рублей.",AI186,AP186)))</f>
        <v>Макеевка</v>
      </c>
      <c r="B186" s="141">
        <v>1.86</v>
      </c>
      <c r="J186" s="141">
        <v>1.86</v>
      </c>
      <c r="K186" s="162">
        <f>IF(Главная!$P$9="Дол.",AY186,IF(Главная!$P$9="гривен.",AQ186,IF(Главная!$P$9="рублей.",AJ186,AQ186)))</f>
        <v>1.74</v>
      </c>
      <c r="L186" s="162">
        <f>IF(Главная!$P$9="Дол.",AZ186,IF(Главная!$P$9="гривен.",AR186,IF(Главная!$P$9="рублей.",AK186,AR186)))</f>
        <v>1.74</v>
      </c>
      <c r="M186" s="162">
        <f>IF(Главная!$P$9="Дол.",BA186,IF(Главная!$P$9="гривен.",AS186,IF(Главная!$P$9="рублей.",AL186,AS186)))</f>
        <v>1.74</v>
      </c>
      <c r="N186" s="162">
        <f>IF(Главная!$P$9="Дол.",BB186,IF(Главная!$P$9="гривен.",AT186,IF(Главная!$P$9="рублей.",AM186,AT186)))</f>
        <v>1.74</v>
      </c>
      <c r="O186" s="162">
        <f>IF(Главная!$P$9="Дол.",BC186,IF(Главная!$P$9="гривен.",AU186,IF(Главная!$P$9="рублей.",AN186,AU186)))</f>
        <v>1.74</v>
      </c>
      <c r="P186" s="141">
        <v>1.86</v>
      </c>
      <c r="Q186" s="141">
        <v>1.86</v>
      </c>
      <c r="AP186" s="144" t="s">
        <v>2334</v>
      </c>
      <c r="AQ186" s="141">
        <v>1.74</v>
      </c>
      <c r="AR186" s="141">
        <v>1.74</v>
      </c>
      <c r="AS186" s="141">
        <v>1.74</v>
      </c>
      <c r="AT186" s="141">
        <v>1.74</v>
      </c>
      <c r="AU186" s="141">
        <v>1.74</v>
      </c>
      <c r="AV186" s="141">
        <v>1.74</v>
      </c>
      <c r="AW186" s="141">
        <v>1.74</v>
      </c>
      <c r="AX186" s="126" t="s">
        <v>2583</v>
      </c>
    </row>
    <row r="187" spans="1:50" s="140" customFormat="1" ht="12.75" customHeight="1">
      <c r="A187" s="150" t="str">
        <f>IF(Главная!$P$9="Дол.",AX187,IF(Главная!$P$9="гривен.",AP187,IF(Главная!$P$9="рублей.",AI187,AP187)))</f>
        <v>Малин</v>
      </c>
      <c r="B187" s="141">
        <v>2.23</v>
      </c>
      <c r="J187" s="141">
        <v>2.23</v>
      </c>
      <c r="K187" s="162">
        <f>IF(Главная!$P$9="Дол.",AY187,IF(Главная!$P$9="гривен.",AQ187,IF(Главная!$P$9="рублей.",AJ187,AQ187)))</f>
        <v>2.12</v>
      </c>
      <c r="L187" s="162">
        <f>IF(Главная!$P$9="Дол.",AZ187,IF(Главная!$P$9="гривен.",AR187,IF(Главная!$P$9="рублей.",AK187,AR187)))</f>
        <v>2.12</v>
      </c>
      <c r="M187" s="162">
        <f>IF(Главная!$P$9="Дол.",BA187,IF(Главная!$P$9="гривен.",AS187,IF(Главная!$P$9="рублей.",AL187,AS187)))</f>
        <v>2.12</v>
      </c>
      <c r="N187" s="162">
        <f>IF(Главная!$P$9="Дол.",BB187,IF(Главная!$P$9="гривен.",AT187,IF(Главная!$P$9="рублей.",AM187,AT187)))</f>
        <v>2.12</v>
      </c>
      <c r="O187" s="162">
        <f>IF(Главная!$P$9="Дол.",BC187,IF(Главная!$P$9="гривен.",AU187,IF(Главная!$P$9="рублей.",AN187,AU187)))</f>
        <v>2.12</v>
      </c>
      <c r="P187" s="141">
        <v>2.23</v>
      </c>
      <c r="Q187" s="141">
        <v>2.23</v>
      </c>
      <c r="AP187" s="144" t="s">
        <v>2333</v>
      </c>
      <c r="AQ187" s="141">
        <v>2.12</v>
      </c>
      <c r="AR187" s="141">
        <v>2.12</v>
      </c>
      <c r="AS187" s="141">
        <v>2.12</v>
      </c>
      <c r="AT187" s="141">
        <v>2.12</v>
      </c>
      <c r="AU187" s="141">
        <v>2.12</v>
      </c>
      <c r="AV187" s="141">
        <v>2.12</v>
      </c>
      <c r="AW187" s="141">
        <v>2.12</v>
      </c>
      <c r="AX187" s="126" t="s">
        <v>2584</v>
      </c>
    </row>
    <row r="188" spans="1:50" s="140" customFormat="1" ht="12.75" customHeight="1">
      <c r="A188" s="150" t="str">
        <f>IF(Главная!$P$9="Дол.",AX188,IF(Главная!$P$9="гривен.",AP188,IF(Главная!$P$9="рублей.",AI188,AP188)))</f>
        <v>Маневичи</v>
      </c>
      <c r="B188" s="141">
        <v>1.86</v>
      </c>
      <c r="J188" s="141">
        <v>1.86</v>
      </c>
      <c r="K188" s="162">
        <f>IF(Главная!$P$9="Дол.",AY188,IF(Главная!$P$9="гривен.",AQ188,IF(Главная!$P$9="рублей.",AJ188,AQ188)))</f>
        <v>2.12</v>
      </c>
      <c r="L188" s="162">
        <f>IF(Главная!$P$9="Дол.",AZ188,IF(Главная!$P$9="гривен.",AR188,IF(Главная!$P$9="рублей.",AK188,AR188)))</f>
        <v>2.12</v>
      </c>
      <c r="M188" s="162">
        <f>IF(Главная!$P$9="Дол.",BA188,IF(Главная!$P$9="гривен.",AS188,IF(Главная!$P$9="рублей.",AL188,AS188)))</f>
        <v>2.12</v>
      </c>
      <c r="N188" s="162">
        <f>IF(Главная!$P$9="Дол.",BB188,IF(Главная!$P$9="гривен.",AT188,IF(Главная!$P$9="рублей.",AM188,AT188)))</f>
        <v>2.12</v>
      </c>
      <c r="O188" s="162">
        <f>IF(Главная!$P$9="Дол.",BC188,IF(Главная!$P$9="гривен.",AU188,IF(Главная!$P$9="рублей.",AN188,AU188)))</f>
        <v>2.12</v>
      </c>
      <c r="P188" s="141">
        <v>1.86</v>
      </c>
      <c r="Q188" s="141">
        <v>1.86</v>
      </c>
      <c r="AP188" s="144" t="s">
        <v>2332</v>
      </c>
      <c r="AQ188" s="141">
        <v>2.12</v>
      </c>
      <c r="AR188" s="141">
        <v>2.12</v>
      </c>
      <c r="AS188" s="141">
        <v>2.12</v>
      </c>
      <c r="AT188" s="141">
        <v>2.12</v>
      </c>
      <c r="AU188" s="141">
        <v>2.12</v>
      </c>
      <c r="AV188" s="141">
        <v>2.12</v>
      </c>
      <c r="AW188" s="141">
        <v>2.12</v>
      </c>
      <c r="AX188" s="126" t="s">
        <v>2585</v>
      </c>
    </row>
    <row r="189" spans="1:50" s="140" customFormat="1" ht="12.75" customHeight="1">
      <c r="A189" s="150" t="str">
        <f>IF(Главная!$P$9="Дол.",AX189,IF(Главная!$P$9="гривен.",AP189,IF(Главная!$P$9="рублей.",AI189,AP189)))</f>
        <v>Марганец</v>
      </c>
      <c r="B189" s="141">
        <v>2.59</v>
      </c>
      <c r="J189" s="141">
        <v>2.59</v>
      </c>
      <c r="K189" s="162">
        <f>IF(Главная!$P$9="Дол.",AY189,IF(Главная!$P$9="гривен.",AQ189,IF(Главная!$P$9="рублей.",AJ189,AQ189)))</f>
        <v>1.74</v>
      </c>
      <c r="L189" s="162">
        <f>IF(Главная!$P$9="Дол.",AZ189,IF(Главная!$P$9="гривен.",AR189,IF(Главная!$P$9="рублей.",AK189,AR189)))</f>
        <v>1.74</v>
      </c>
      <c r="M189" s="162">
        <f>IF(Главная!$P$9="Дол.",BA189,IF(Главная!$P$9="гривен.",AS189,IF(Главная!$P$9="рублей.",AL189,AS189)))</f>
        <v>1.74</v>
      </c>
      <c r="N189" s="162">
        <f>IF(Главная!$P$9="Дол.",BB189,IF(Главная!$P$9="гривен.",AT189,IF(Главная!$P$9="рублей.",AM189,AT189)))</f>
        <v>1.74</v>
      </c>
      <c r="O189" s="162">
        <f>IF(Главная!$P$9="Дол.",BC189,IF(Главная!$P$9="гривен.",AU189,IF(Главная!$P$9="рублей.",AN189,AU189)))</f>
        <v>1.74</v>
      </c>
      <c r="P189" s="141">
        <v>2.59</v>
      </c>
      <c r="Q189" s="141">
        <v>2.59</v>
      </c>
      <c r="AP189" s="144" t="s">
        <v>2331</v>
      </c>
      <c r="AQ189" s="141">
        <v>1.74</v>
      </c>
      <c r="AR189" s="141">
        <v>1.74</v>
      </c>
      <c r="AS189" s="141">
        <v>1.74</v>
      </c>
      <c r="AT189" s="141">
        <v>1.74</v>
      </c>
      <c r="AU189" s="141">
        <v>1.74</v>
      </c>
      <c r="AV189" s="141">
        <v>1.74</v>
      </c>
      <c r="AW189" s="141">
        <v>1.74</v>
      </c>
      <c r="AX189" s="126" t="s">
        <v>2586</v>
      </c>
    </row>
    <row r="190" spans="1:50" s="140" customFormat="1" ht="12.75" customHeight="1">
      <c r="A190" s="150" t="str">
        <f>IF(Главная!$P$9="Дол.",AX190,IF(Главная!$P$9="гривен.",AP190,IF(Главная!$P$9="рублей.",AI190,AP190)))</f>
        <v>Мариуполь</v>
      </c>
      <c r="B190" s="141">
        <v>1.86</v>
      </c>
      <c r="J190" s="141">
        <v>1.86</v>
      </c>
      <c r="K190" s="162">
        <f>IF(Главная!$P$9="Дол.",AY190,IF(Главная!$P$9="гривен.",AQ190,IF(Главная!$P$9="рублей.",AJ190,AQ190)))</f>
        <v>2.12</v>
      </c>
      <c r="L190" s="162">
        <f>IF(Главная!$P$9="Дол.",AZ190,IF(Главная!$P$9="гривен.",AR190,IF(Главная!$P$9="рублей.",AK190,AR190)))</f>
        <v>2.12</v>
      </c>
      <c r="M190" s="162">
        <f>IF(Главная!$P$9="Дол.",BA190,IF(Главная!$P$9="гривен.",AS190,IF(Главная!$P$9="рублей.",AL190,AS190)))</f>
        <v>2.12</v>
      </c>
      <c r="N190" s="162">
        <f>IF(Главная!$P$9="Дол.",BB190,IF(Главная!$P$9="гривен.",AT190,IF(Главная!$P$9="рублей.",AM190,AT190)))</f>
        <v>2.12</v>
      </c>
      <c r="O190" s="162">
        <f>IF(Главная!$P$9="Дол.",BC190,IF(Главная!$P$9="гривен.",AU190,IF(Главная!$P$9="рублей.",AN190,AU190)))</f>
        <v>2.12</v>
      </c>
      <c r="P190" s="141">
        <v>1.86</v>
      </c>
      <c r="Q190" s="141">
        <v>1.86</v>
      </c>
      <c r="AP190" s="144" t="s">
        <v>2330</v>
      </c>
      <c r="AQ190" s="141">
        <v>2.12</v>
      </c>
      <c r="AR190" s="141">
        <v>2.12</v>
      </c>
      <c r="AS190" s="141">
        <v>2.12</v>
      </c>
      <c r="AT190" s="141">
        <v>2.12</v>
      </c>
      <c r="AU190" s="141">
        <v>2.12</v>
      </c>
      <c r="AV190" s="141">
        <v>2.12</v>
      </c>
      <c r="AW190" s="141">
        <v>2.12</v>
      </c>
      <c r="AX190" s="126" t="s">
        <v>2587</v>
      </c>
    </row>
    <row r="191" spans="1:50" s="140" customFormat="1" ht="12.75" customHeight="1">
      <c r="A191" s="150" t="str">
        <f>IF(Главная!$P$9="Дол.",AX191,IF(Главная!$P$9="гривен.",AP191,IF(Главная!$P$9="рублей.",AI191,AP191)))</f>
        <v>Марьинка</v>
      </c>
      <c r="B191" s="141">
        <v>2.12</v>
      </c>
      <c r="J191" s="141">
        <v>2.12</v>
      </c>
      <c r="K191" s="162">
        <f>IF(Главная!$P$9="Дол.",AY191,IF(Главная!$P$9="гривен.",AQ191,IF(Главная!$P$9="рублей.",AJ191,AQ191)))</f>
        <v>2.23</v>
      </c>
      <c r="L191" s="162">
        <f>IF(Главная!$P$9="Дол.",AZ191,IF(Главная!$P$9="гривен.",AR191,IF(Главная!$P$9="рублей.",AK191,AR191)))</f>
        <v>2.23</v>
      </c>
      <c r="M191" s="162">
        <f>IF(Главная!$P$9="Дол.",BA191,IF(Главная!$P$9="гривен.",AS191,IF(Главная!$P$9="рублей.",AL191,AS191)))</f>
        <v>2.23</v>
      </c>
      <c r="N191" s="162">
        <f>IF(Главная!$P$9="Дол.",BB191,IF(Главная!$P$9="гривен.",AT191,IF(Главная!$P$9="рублей.",AM191,AT191)))</f>
        <v>2.23</v>
      </c>
      <c r="O191" s="162">
        <f>IF(Главная!$P$9="Дол.",BC191,IF(Главная!$P$9="гривен.",AU191,IF(Главная!$P$9="рублей.",AN191,AU191)))</f>
        <v>2.23</v>
      </c>
      <c r="P191" s="141">
        <v>2.12</v>
      </c>
      <c r="Q191" s="141">
        <v>2.12</v>
      </c>
      <c r="AP191" s="144" t="s">
        <v>2329</v>
      </c>
      <c r="AQ191" s="141">
        <v>2.23</v>
      </c>
      <c r="AR191" s="141">
        <v>2.23</v>
      </c>
      <c r="AS191" s="141">
        <v>2.23</v>
      </c>
      <c r="AT191" s="141">
        <v>2.23</v>
      </c>
      <c r="AU191" s="141">
        <v>2.23</v>
      </c>
      <c r="AV191" s="141">
        <v>2.23</v>
      </c>
      <c r="AW191" s="141">
        <v>2.23</v>
      </c>
      <c r="AX191" s="126" t="s">
        <v>2588</v>
      </c>
    </row>
    <row r="192" spans="1:50" s="140" customFormat="1" ht="12.75" customHeight="1">
      <c r="A192" s="150" t="str">
        <f>IF(Главная!$P$9="Дол.",AX192,IF(Главная!$P$9="гривен.",AP192,IF(Главная!$P$9="рублей.",AI192,AP192)))</f>
        <v>Межгорье</v>
      </c>
      <c r="B192" s="141">
        <v>1.74</v>
      </c>
      <c r="J192" s="141">
        <v>1.74</v>
      </c>
      <c r="K192" s="162">
        <f>IF(Главная!$P$9="Дол.",AY192,IF(Главная!$P$9="гривен.",AQ192,IF(Главная!$P$9="рублей.",AJ192,AQ192)))</f>
        <v>2.59</v>
      </c>
      <c r="L192" s="162">
        <f>IF(Главная!$P$9="Дол.",AZ192,IF(Главная!$P$9="гривен.",AR192,IF(Главная!$P$9="рублей.",AK192,AR192)))</f>
        <v>2.59</v>
      </c>
      <c r="M192" s="162">
        <f>IF(Главная!$P$9="Дол.",BA192,IF(Главная!$P$9="гривен.",AS192,IF(Главная!$P$9="рублей.",AL192,AS192)))</f>
        <v>2.59</v>
      </c>
      <c r="N192" s="162">
        <f>IF(Главная!$P$9="Дол.",BB192,IF(Главная!$P$9="гривен.",AT192,IF(Главная!$P$9="рублей.",AM192,AT192)))</f>
        <v>2.59</v>
      </c>
      <c r="O192" s="162">
        <f>IF(Главная!$P$9="Дол.",BC192,IF(Главная!$P$9="гривен.",AU192,IF(Главная!$P$9="рублей.",AN192,AU192)))</f>
        <v>2.59</v>
      </c>
      <c r="P192" s="141">
        <v>1.74</v>
      </c>
      <c r="Q192" s="141">
        <v>1.74</v>
      </c>
      <c r="AP192" s="144" t="s">
        <v>2328</v>
      </c>
      <c r="AQ192" s="141">
        <v>2.59</v>
      </c>
      <c r="AR192" s="141">
        <v>2.59</v>
      </c>
      <c r="AS192" s="141">
        <v>2.59</v>
      </c>
      <c r="AT192" s="141">
        <v>2.59</v>
      </c>
      <c r="AU192" s="141">
        <v>2.59</v>
      </c>
      <c r="AV192" s="141">
        <v>2.59</v>
      </c>
      <c r="AW192" s="141">
        <v>2.59</v>
      </c>
      <c r="AX192" s="126" t="s">
        <v>2589</v>
      </c>
    </row>
    <row r="193" spans="1:50" s="140" customFormat="1" ht="12.75" customHeight="1">
      <c r="A193" s="150" t="str">
        <f>IF(Главная!$P$9="Дол.",AX193,IF(Главная!$P$9="гривен.",AP193,IF(Главная!$P$9="рублей.",AI193,AP193)))</f>
        <v>Мелитополь</v>
      </c>
      <c r="B193" s="141">
        <v>2.23</v>
      </c>
      <c r="J193" s="141">
        <v>2.23</v>
      </c>
      <c r="K193" s="162">
        <f>IF(Главная!$P$9="Дол.",AY193,IF(Главная!$P$9="гривен.",AQ193,IF(Главная!$P$9="рублей.",AJ193,AQ193)))</f>
        <v>1.74</v>
      </c>
      <c r="L193" s="162">
        <f>IF(Главная!$P$9="Дол.",AZ193,IF(Главная!$P$9="гривен.",AR193,IF(Главная!$P$9="рублей.",AK193,AR193)))</f>
        <v>1.74</v>
      </c>
      <c r="M193" s="162">
        <f>IF(Главная!$P$9="Дол.",BA193,IF(Главная!$P$9="гривен.",AS193,IF(Главная!$P$9="рублей.",AL193,AS193)))</f>
        <v>1.74</v>
      </c>
      <c r="N193" s="162">
        <f>IF(Главная!$P$9="Дол.",BB193,IF(Главная!$P$9="гривен.",AT193,IF(Главная!$P$9="рублей.",AM193,AT193)))</f>
        <v>1.74</v>
      </c>
      <c r="O193" s="162">
        <f>IF(Главная!$P$9="Дол.",BC193,IF(Главная!$P$9="гривен.",AU193,IF(Главная!$P$9="рублей.",AN193,AU193)))</f>
        <v>1.74</v>
      </c>
      <c r="P193" s="141">
        <v>2.23</v>
      </c>
      <c r="Q193" s="141">
        <v>2.23</v>
      </c>
      <c r="AP193" s="144" t="s">
        <v>2327</v>
      </c>
      <c r="AQ193" s="141">
        <v>1.74</v>
      </c>
      <c r="AR193" s="141">
        <v>1.74</v>
      </c>
      <c r="AS193" s="141">
        <v>1.74</v>
      </c>
      <c r="AT193" s="141">
        <v>1.74</v>
      </c>
      <c r="AU193" s="141">
        <v>1.74</v>
      </c>
      <c r="AV193" s="141">
        <v>1.74</v>
      </c>
      <c r="AW193" s="141">
        <v>1.74</v>
      </c>
      <c r="AX193" s="126" t="s">
        <v>2590</v>
      </c>
    </row>
    <row r="194" spans="1:50" s="140" customFormat="1" ht="12.75" customHeight="1">
      <c r="A194" s="150" t="str">
        <f>IF(Главная!$P$9="Дол.",AX194,IF(Главная!$P$9="гривен.",AP194,IF(Главная!$P$9="рублей.",AI194,AP194)))</f>
        <v>Мена</v>
      </c>
      <c r="B194" s="141">
        <v>2.59</v>
      </c>
      <c r="J194" s="141">
        <v>2.59</v>
      </c>
      <c r="K194" s="162">
        <f>IF(Главная!$P$9="Дол.",AY194,IF(Главная!$P$9="гривен.",AQ194,IF(Главная!$P$9="рублей.",AJ194,AQ194)))</f>
        <v>1.74</v>
      </c>
      <c r="L194" s="162">
        <f>IF(Главная!$P$9="Дол.",AZ194,IF(Главная!$P$9="гривен.",AR194,IF(Главная!$P$9="рублей.",AK194,AR194)))</f>
        <v>1.74</v>
      </c>
      <c r="M194" s="162">
        <f>IF(Главная!$P$9="Дол.",BA194,IF(Главная!$P$9="гривен.",AS194,IF(Главная!$P$9="рублей.",AL194,AS194)))</f>
        <v>1.74</v>
      </c>
      <c r="N194" s="162">
        <f>IF(Главная!$P$9="Дол.",BB194,IF(Главная!$P$9="гривен.",AT194,IF(Главная!$P$9="рублей.",AM194,AT194)))</f>
        <v>1.74</v>
      </c>
      <c r="O194" s="162">
        <f>IF(Главная!$P$9="Дол.",BC194,IF(Главная!$P$9="гривен.",AU194,IF(Главная!$P$9="рублей.",AN194,AU194)))</f>
        <v>1.74</v>
      </c>
      <c r="P194" s="141">
        <v>2.59</v>
      </c>
      <c r="Q194" s="141">
        <v>2.59</v>
      </c>
      <c r="AP194" s="144" t="s">
        <v>2326</v>
      </c>
      <c r="AQ194" s="141">
        <v>1.74</v>
      </c>
      <c r="AR194" s="141">
        <v>1.74</v>
      </c>
      <c r="AS194" s="141">
        <v>1.74</v>
      </c>
      <c r="AT194" s="141">
        <v>1.74</v>
      </c>
      <c r="AU194" s="141">
        <v>1.74</v>
      </c>
      <c r="AV194" s="141">
        <v>1.74</v>
      </c>
      <c r="AW194" s="141">
        <v>1.74</v>
      </c>
      <c r="AX194" s="126" t="s">
        <v>2583</v>
      </c>
    </row>
    <row r="195" spans="1:50" s="140" customFormat="1" ht="12.75" customHeight="1">
      <c r="A195" s="150" t="str">
        <f>IF(Главная!$P$9="Дол.",AX195,IF(Главная!$P$9="гривен.",AP195,IF(Главная!$P$9="рублей.",AI195,AP195)))</f>
        <v>Миргород</v>
      </c>
      <c r="B195" s="141">
        <v>1.86</v>
      </c>
      <c r="J195" s="141">
        <v>1.86</v>
      </c>
      <c r="K195" s="162">
        <f>IF(Главная!$P$9="Дол.",AY195,IF(Главная!$P$9="гривен.",AQ195,IF(Главная!$P$9="рублей.",AJ195,AQ195)))</f>
        <v>1.21</v>
      </c>
      <c r="L195" s="162">
        <f>IF(Главная!$P$9="Дол.",AZ195,IF(Главная!$P$9="гривен.",AR195,IF(Главная!$P$9="рублей.",AK195,AR195)))</f>
        <v>1.21</v>
      </c>
      <c r="M195" s="162">
        <f>IF(Главная!$P$9="Дол.",BA195,IF(Главная!$P$9="гривен.",AS195,IF(Главная!$P$9="рублей.",AL195,AS195)))</f>
        <v>1.21</v>
      </c>
      <c r="N195" s="162">
        <f>IF(Главная!$P$9="Дол.",BB195,IF(Главная!$P$9="гривен.",AT195,IF(Главная!$P$9="рублей.",AM195,AT195)))</f>
        <v>1.21</v>
      </c>
      <c r="O195" s="162">
        <f>IF(Главная!$P$9="Дол.",BC195,IF(Главная!$P$9="гривен.",AU195,IF(Главная!$P$9="рублей.",AN195,AU195)))</f>
        <v>1.21</v>
      </c>
      <c r="P195" s="141">
        <v>1.86</v>
      </c>
      <c r="Q195" s="141">
        <v>1.86</v>
      </c>
      <c r="AP195" s="144" t="s">
        <v>2325</v>
      </c>
      <c r="AQ195" s="141">
        <v>1.21</v>
      </c>
      <c r="AR195" s="141">
        <v>1.21</v>
      </c>
      <c r="AS195" s="141">
        <v>1.21</v>
      </c>
      <c r="AT195" s="141">
        <v>1.21</v>
      </c>
      <c r="AU195" s="141">
        <v>1.21</v>
      </c>
      <c r="AV195" s="141">
        <v>1.21</v>
      </c>
      <c r="AW195" s="141">
        <v>1.21</v>
      </c>
      <c r="AX195" s="126" t="s">
        <v>2584</v>
      </c>
    </row>
    <row r="196" spans="1:50" s="140" customFormat="1" ht="12.75" customHeight="1">
      <c r="A196" s="150" t="str">
        <f>IF(Главная!$P$9="Дол.",AX196,IF(Главная!$P$9="гривен.",AP196,IF(Главная!$P$9="рублей.",AI196,AP196)))</f>
        <v>Мироновка</v>
      </c>
      <c r="B196" s="141">
        <v>1.47</v>
      </c>
      <c r="J196" s="141">
        <v>1.47</v>
      </c>
      <c r="K196" s="162">
        <f>IF(Главная!$P$9="Дол.",AY196,IF(Главная!$P$9="гривен.",AQ196,IF(Главная!$P$9="рублей.",AJ196,AQ196)))</f>
        <v>1.21</v>
      </c>
      <c r="L196" s="162">
        <f>IF(Главная!$P$9="Дол.",AZ196,IF(Главная!$P$9="гривен.",AR196,IF(Главная!$P$9="рублей.",AK196,AR196)))</f>
        <v>1.21</v>
      </c>
      <c r="M196" s="162">
        <f>IF(Главная!$P$9="Дол.",BA196,IF(Главная!$P$9="гривен.",AS196,IF(Главная!$P$9="рублей.",AL196,AS196)))</f>
        <v>1.21</v>
      </c>
      <c r="N196" s="162">
        <f>IF(Главная!$P$9="Дол.",BB196,IF(Главная!$P$9="гривен.",AT196,IF(Главная!$P$9="рублей.",AM196,AT196)))</f>
        <v>1.21</v>
      </c>
      <c r="O196" s="162">
        <f>IF(Главная!$P$9="Дол.",BC196,IF(Главная!$P$9="гривен.",AU196,IF(Главная!$P$9="рублей.",AN196,AU196)))</f>
        <v>1.21</v>
      </c>
      <c r="P196" s="141">
        <v>1.47</v>
      </c>
      <c r="Q196" s="141">
        <v>1.47</v>
      </c>
      <c r="AP196" s="144" t="s">
        <v>2324</v>
      </c>
      <c r="AQ196" s="141">
        <v>1.21</v>
      </c>
      <c r="AR196" s="141">
        <v>1.21</v>
      </c>
      <c r="AS196" s="141">
        <v>1.21</v>
      </c>
      <c r="AT196" s="141">
        <v>1.21</v>
      </c>
      <c r="AU196" s="141">
        <v>1.21</v>
      </c>
      <c r="AV196" s="141">
        <v>1.21</v>
      </c>
      <c r="AW196" s="141">
        <v>1.21</v>
      </c>
      <c r="AX196" s="126" t="s">
        <v>2585</v>
      </c>
    </row>
    <row r="197" spans="1:50" s="140" customFormat="1" ht="12.75" customHeight="1">
      <c r="A197" s="150" t="str">
        <f>IF(Главная!$P$9="Дол.",AX197,IF(Главная!$P$9="гривен.",AP197,IF(Главная!$P$9="рублей.",AI197,AP197)))</f>
        <v>Михайловка</v>
      </c>
      <c r="B197" s="141">
        <v>1.86</v>
      </c>
      <c r="J197" s="141">
        <v>1.86</v>
      </c>
      <c r="K197" s="162">
        <f>IF(Главная!$P$9="Дол.",AY197,IF(Главная!$P$9="гривен.",AQ197,IF(Главная!$P$9="рублей.",AJ197,AQ197)))</f>
        <v>1.86</v>
      </c>
      <c r="L197" s="162">
        <f>IF(Главная!$P$9="Дол.",AZ197,IF(Главная!$P$9="гривен.",AR197,IF(Главная!$P$9="рублей.",AK197,AR197)))</f>
        <v>1.86</v>
      </c>
      <c r="M197" s="162">
        <f>IF(Главная!$P$9="Дол.",BA197,IF(Главная!$P$9="гривен.",AS197,IF(Главная!$P$9="рублей.",AL197,AS197)))</f>
        <v>1.86</v>
      </c>
      <c r="N197" s="162">
        <f>IF(Главная!$P$9="Дол.",BB197,IF(Главная!$P$9="гривен.",AT197,IF(Главная!$P$9="рублей.",AM197,AT197)))</f>
        <v>1.86</v>
      </c>
      <c r="O197" s="162">
        <f>IF(Главная!$P$9="Дол.",BC197,IF(Главная!$P$9="гривен.",AU197,IF(Главная!$P$9="рублей.",AN197,AU197)))</f>
        <v>1.86</v>
      </c>
      <c r="P197" s="141">
        <v>1.86</v>
      </c>
      <c r="Q197" s="141">
        <v>1.86</v>
      </c>
      <c r="AP197" s="144" t="s">
        <v>2323</v>
      </c>
      <c r="AQ197" s="141">
        <v>1.86</v>
      </c>
      <c r="AR197" s="141">
        <v>1.86</v>
      </c>
      <c r="AS197" s="141">
        <v>1.86</v>
      </c>
      <c r="AT197" s="141">
        <v>1.86</v>
      </c>
      <c r="AU197" s="141">
        <v>1.86</v>
      </c>
      <c r="AV197" s="141">
        <v>1.86</v>
      </c>
      <c r="AW197" s="141">
        <v>1.86</v>
      </c>
      <c r="AX197" s="126" t="s">
        <v>2586</v>
      </c>
    </row>
    <row r="198" spans="1:50" s="140" customFormat="1" ht="12.75" customHeight="1">
      <c r="A198" s="150" t="str">
        <f>IF(Главная!$P$9="Дол.",AX198,IF(Главная!$P$9="гривен.",AP198,IF(Главная!$P$9="рублей.",AI198,AP198)))</f>
        <v>Могилев-Подольский</v>
      </c>
      <c r="B198" s="141">
        <v>1.47</v>
      </c>
      <c r="J198" s="141">
        <v>1.47</v>
      </c>
      <c r="K198" s="162">
        <f>IF(Главная!$P$9="Дол.",AY198,IF(Главная!$P$9="гривен.",AQ198,IF(Главная!$P$9="рублей.",AJ198,AQ198)))</f>
        <v>2.23</v>
      </c>
      <c r="L198" s="162">
        <f>IF(Главная!$P$9="Дол.",AZ198,IF(Главная!$P$9="гривен.",AR198,IF(Главная!$P$9="рублей.",AK198,AR198)))</f>
        <v>2.23</v>
      </c>
      <c r="M198" s="162">
        <f>IF(Главная!$P$9="Дол.",BA198,IF(Главная!$P$9="гривен.",AS198,IF(Главная!$P$9="рублей.",AL198,AS198)))</f>
        <v>2.23</v>
      </c>
      <c r="N198" s="162">
        <f>IF(Главная!$P$9="Дол.",BB198,IF(Главная!$P$9="гривен.",AT198,IF(Главная!$P$9="рублей.",AM198,AT198)))</f>
        <v>2.23</v>
      </c>
      <c r="O198" s="162">
        <f>IF(Главная!$P$9="Дол.",BC198,IF(Главная!$P$9="гривен.",AU198,IF(Главная!$P$9="рублей.",AN198,AU198)))</f>
        <v>2.23</v>
      </c>
      <c r="P198" s="141">
        <v>1.47</v>
      </c>
      <c r="Q198" s="141">
        <v>1.47</v>
      </c>
      <c r="AP198" s="144" t="s">
        <v>2322</v>
      </c>
      <c r="AQ198" s="141">
        <v>2.23</v>
      </c>
      <c r="AR198" s="141">
        <v>2.23</v>
      </c>
      <c r="AS198" s="141">
        <v>2.23</v>
      </c>
      <c r="AT198" s="141">
        <v>2.23</v>
      </c>
      <c r="AU198" s="141">
        <v>2.23</v>
      </c>
      <c r="AV198" s="141">
        <v>2.23</v>
      </c>
      <c r="AW198" s="141">
        <v>2.23</v>
      </c>
      <c r="AX198" s="126" t="s">
        <v>2587</v>
      </c>
    </row>
    <row r="199" spans="1:50" s="140" customFormat="1" ht="12.75" customHeight="1">
      <c r="A199" s="150" t="str">
        <f>IF(Главная!$P$9="Дол.",AX199,IF(Главная!$P$9="гривен.",AP199,IF(Главная!$P$9="рублей.",AI199,AP199)))</f>
        <v>Монастырище</v>
      </c>
      <c r="B199" s="141">
        <v>2.12</v>
      </c>
      <c r="J199" s="141">
        <v>2.12</v>
      </c>
      <c r="K199" s="162">
        <f>IF(Главная!$P$9="Дол.",AY199,IF(Главная!$P$9="гривен.",AQ199,IF(Главная!$P$9="рублей.",AJ199,AQ199)))</f>
        <v>2.59</v>
      </c>
      <c r="L199" s="162">
        <f>IF(Главная!$P$9="Дол.",AZ199,IF(Главная!$P$9="гривен.",AR199,IF(Главная!$P$9="рублей.",AK199,AR199)))</f>
        <v>2.59</v>
      </c>
      <c r="M199" s="162">
        <f>IF(Главная!$P$9="Дол.",BA199,IF(Главная!$P$9="гривен.",AS199,IF(Главная!$P$9="рублей.",AL199,AS199)))</f>
        <v>2.59</v>
      </c>
      <c r="N199" s="162">
        <f>IF(Главная!$P$9="Дол.",BB199,IF(Главная!$P$9="гривен.",AT199,IF(Главная!$P$9="рублей.",AM199,AT199)))</f>
        <v>2.59</v>
      </c>
      <c r="O199" s="162">
        <f>IF(Главная!$P$9="Дол.",BC199,IF(Главная!$P$9="гривен.",AU199,IF(Главная!$P$9="рублей.",AN199,AU199)))</f>
        <v>2.59</v>
      </c>
      <c r="P199" s="141">
        <v>2.12</v>
      </c>
      <c r="Q199" s="141">
        <v>2.12</v>
      </c>
      <c r="AP199" s="144" t="s">
        <v>2321</v>
      </c>
      <c r="AQ199" s="141">
        <v>2.59</v>
      </c>
      <c r="AR199" s="141">
        <v>2.59</v>
      </c>
      <c r="AS199" s="141">
        <v>2.59</v>
      </c>
      <c r="AT199" s="141">
        <v>2.59</v>
      </c>
      <c r="AU199" s="141">
        <v>2.59</v>
      </c>
      <c r="AV199" s="141">
        <v>2.59</v>
      </c>
      <c r="AW199" s="141">
        <v>2.59</v>
      </c>
      <c r="AX199" s="126" t="s">
        <v>2588</v>
      </c>
    </row>
    <row r="200" spans="1:50" s="140" customFormat="1" ht="12.75" customHeight="1">
      <c r="A200" s="150" t="str">
        <f>IF(Главная!$P$9="Дол.",AX200,IF(Главная!$P$9="гривен.",AP200,IF(Главная!$P$9="рублей.",AI200,AP200)))</f>
        <v>Моршин</v>
      </c>
      <c r="B200" s="141">
        <v>2.59</v>
      </c>
      <c r="J200" s="141">
        <v>2.59</v>
      </c>
      <c r="K200" s="162">
        <f>IF(Главная!$P$9="Дол.",AY200,IF(Главная!$P$9="гривен.",AQ200,IF(Главная!$P$9="рублей.",AJ200,AQ200)))</f>
        <v>2.12</v>
      </c>
      <c r="L200" s="162">
        <f>IF(Главная!$P$9="Дол.",AZ200,IF(Главная!$P$9="гривен.",AR200,IF(Главная!$P$9="рублей.",AK200,AR200)))</f>
        <v>2.12</v>
      </c>
      <c r="M200" s="162">
        <f>IF(Главная!$P$9="Дол.",BA200,IF(Главная!$P$9="гривен.",AS200,IF(Главная!$P$9="рублей.",AL200,AS200)))</f>
        <v>2.12</v>
      </c>
      <c r="N200" s="162">
        <f>IF(Главная!$P$9="Дол.",BB200,IF(Главная!$P$9="гривен.",AT200,IF(Главная!$P$9="рублей.",AM200,AT200)))</f>
        <v>2.12</v>
      </c>
      <c r="O200" s="162">
        <f>IF(Главная!$P$9="Дол.",BC200,IF(Главная!$P$9="гривен.",AU200,IF(Главная!$P$9="рублей.",AN200,AU200)))</f>
        <v>2.12</v>
      </c>
      <c r="P200" s="141">
        <v>2.59</v>
      </c>
      <c r="Q200" s="141">
        <v>2.59</v>
      </c>
      <c r="AP200" s="144" t="s">
        <v>2320</v>
      </c>
      <c r="AQ200" s="141">
        <v>2.12</v>
      </c>
      <c r="AR200" s="141">
        <v>2.12</v>
      </c>
      <c r="AS200" s="141">
        <v>2.12</v>
      </c>
      <c r="AT200" s="141">
        <v>2.12</v>
      </c>
      <c r="AU200" s="141">
        <v>2.12</v>
      </c>
      <c r="AV200" s="141">
        <v>2.12</v>
      </c>
      <c r="AW200" s="141">
        <v>2.12</v>
      </c>
      <c r="AX200" s="126" t="s">
        <v>2589</v>
      </c>
    </row>
    <row r="201" spans="1:50" s="140" customFormat="1" ht="12.75" customHeight="1">
      <c r="A201" s="150" t="str">
        <f>IF(Главная!$P$9="Дол.",AX201,IF(Главная!$P$9="гривен.",AP201,IF(Главная!$P$9="рублей.",AI201,AP201)))</f>
        <v>Мостиска</v>
      </c>
      <c r="B201" s="141">
        <v>2.12</v>
      </c>
      <c r="J201" s="141">
        <v>2.12</v>
      </c>
      <c r="K201" s="162">
        <f>IF(Главная!$P$9="Дол.",AY201,IF(Главная!$P$9="гривен.",AQ201,IF(Главная!$P$9="рублей.",AJ201,AQ201)))</f>
        <v>2.12</v>
      </c>
      <c r="L201" s="162">
        <f>IF(Главная!$P$9="Дол.",AZ201,IF(Главная!$P$9="гривен.",AR201,IF(Главная!$P$9="рублей.",AK201,AR201)))</f>
        <v>2.12</v>
      </c>
      <c r="M201" s="162">
        <f>IF(Главная!$P$9="Дол.",BA201,IF(Главная!$P$9="гривен.",AS201,IF(Главная!$P$9="рублей.",AL201,AS201)))</f>
        <v>2.12</v>
      </c>
      <c r="N201" s="162">
        <f>IF(Главная!$P$9="Дол.",BB201,IF(Главная!$P$9="гривен.",AT201,IF(Главная!$P$9="рублей.",AM201,AT201)))</f>
        <v>2.12</v>
      </c>
      <c r="O201" s="162">
        <f>IF(Главная!$P$9="Дол.",BC201,IF(Главная!$P$9="гривен.",AU201,IF(Главная!$P$9="рублей.",AN201,AU201)))</f>
        <v>2.12</v>
      </c>
      <c r="P201" s="141">
        <v>2.12</v>
      </c>
      <c r="Q201" s="141">
        <v>2.12</v>
      </c>
      <c r="AP201" s="145" t="s">
        <v>2319</v>
      </c>
      <c r="AQ201" s="141">
        <v>2.12</v>
      </c>
      <c r="AR201" s="141">
        <v>2.12</v>
      </c>
      <c r="AS201" s="141">
        <v>2.12</v>
      </c>
      <c r="AT201" s="141">
        <v>2.12</v>
      </c>
      <c r="AU201" s="141">
        <v>2.12</v>
      </c>
      <c r="AV201" s="141">
        <v>2.12</v>
      </c>
      <c r="AW201" s="141">
        <v>2.12</v>
      </c>
      <c r="AX201" s="126" t="s">
        <v>2590</v>
      </c>
    </row>
    <row r="202" spans="1:50" s="140" customFormat="1" ht="12.75" customHeight="1">
      <c r="A202" s="150" t="str">
        <f>IF(Главная!$P$9="Дол.",AX202,IF(Главная!$P$9="гривен.",AP202,IF(Главная!$P$9="рублей.",AI202,AP202)))</f>
        <v>Мукачево</v>
      </c>
      <c r="B202" s="141">
        <v>1.21</v>
      </c>
      <c r="J202" s="141">
        <v>1.21</v>
      </c>
      <c r="K202" s="162">
        <f>IF(Главная!$P$9="Дол.",AY202,IF(Главная!$P$9="гривен.",AQ202,IF(Главная!$P$9="рублей.",AJ202,AQ202)))</f>
        <v>2.59</v>
      </c>
      <c r="L202" s="162">
        <f>IF(Главная!$P$9="Дол.",AZ202,IF(Главная!$P$9="гривен.",AR202,IF(Главная!$P$9="рублей.",AK202,AR202)))</f>
        <v>2.59</v>
      </c>
      <c r="M202" s="162">
        <f>IF(Главная!$P$9="Дол.",BA202,IF(Главная!$P$9="гривен.",AS202,IF(Главная!$P$9="рублей.",AL202,AS202)))</f>
        <v>2.59</v>
      </c>
      <c r="N202" s="162">
        <f>IF(Главная!$P$9="Дол.",BB202,IF(Главная!$P$9="гривен.",AT202,IF(Главная!$P$9="рублей.",AM202,AT202)))</f>
        <v>2.59</v>
      </c>
      <c r="O202" s="162">
        <f>IF(Главная!$P$9="Дол.",BC202,IF(Главная!$P$9="гривен.",AU202,IF(Главная!$P$9="рублей.",AN202,AU202)))</f>
        <v>2.59</v>
      </c>
      <c r="P202" s="141">
        <v>1.21</v>
      </c>
      <c r="Q202" s="141">
        <v>1.21</v>
      </c>
      <c r="AP202" s="144" t="s">
        <v>2318</v>
      </c>
      <c r="AQ202" s="141">
        <v>2.59</v>
      </c>
      <c r="AR202" s="141">
        <v>2.59</v>
      </c>
      <c r="AS202" s="141">
        <v>2.59</v>
      </c>
      <c r="AT202" s="141">
        <v>2.59</v>
      </c>
      <c r="AU202" s="141">
        <v>2.59</v>
      </c>
      <c r="AV202" s="141">
        <v>2.59</v>
      </c>
      <c r="AW202" s="141">
        <v>2.59</v>
      </c>
      <c r="AX202" s="126" t="s">
        <v>2583</v>
      </c>
    </row>
    <row r="203" spans="1:50" s="140" customFormat="1" ht="12.75" customHeight="1">
      <c r="A203" s="150" t="str">
        <f>IF(Главная!$P$9="Дол.",AX203,IF(Главная!$P$9="гривен.",AP203,IF(Главная!$P$9="рублей.",AI203,AP203)))</f>
        <v>Надвирна</v>
      </c>
      <c r="B203" s="141">
        <v>1.86</v>
      </c>
      <c r="J203" s="141">
        <v>1.86</v>
      </c>
      <c r="K203" s="162">
        <f>IF(Главная!$P$9="Дол.",AY203,IF(Главная!$P$9="гривен.",AQ203,IF(Главная!$P$9="рублей.",AJ203,AQ203)))</f>
        <v>2.23</v>
      </c>
      <c r="L203" s="162">
        <f>IF(Главная!$P$9="Дол.",AZ203,IF(Главная!$P$9="гривен.",AR203,IF(Главная!$P$9="рублей.",AK203,AR203)))</f>
        <v>2.23</v>
      </c>
      <c r="M203" s="162">
        <f>IF(Главная!$P$9="Дол.",BA203,IF(Главная!$P$9="гривен.",AS203,IF(Главная!$P$9="рублей.",AL203,AS203)))</f>
        <v>2.23</v>
      </c>
      <c r="N203" s="162">
        <f>IF(Главная!$P$9="Дол.",BB203,IF(Главная!$P$9="гривен.",AT203,IF(Главная!$P$9="рублей.",AM203,AT203)))</f>
        <v>2.23</v>
      </c>
      <c r="O203" s="162">
        <f>IF(Главная!$P$9="Дол.",BC203,IF(Главная!$P$9="гривен.",AU203,IF(Главная!$P$9="рублей.",AN203,AU203)))</f>
        <v>2.23</v>
      </c>
      <c r="P203" s="141">
        <v>1.86</v>
      </c>
      <c r="Q203" s="141">
        <v>1.86</v>
      </c>
      <c r="AP203" s="144" t="s">
        <v>2317</v>
      </c>
      <c r="AQ203" s="141">
        <v>2.23</v>
      </c>
      <c r="AR203" s="141">
        <v>2.23</v>
      </c>
      <c r="AS203" s="141">
        <v>2.23</v>
      </c>
      <c r="AT203" s="141">
        <v>2.23</v>
      </c>
      <c r="AU203" s="141">
        <v>2.23</v>
      </c>
      <c r="AV203" s="141">
        <v>2.23</v>
      </c>
      <c r="AW203" s="141">
        <v>2.23</v>
      </c>
      <c r="AX203" s="126" t="s">
        <v>2584</v>
      </c>
    </row>
    <row r="204" spans="1:50" s="140" customFormat="1" ht="12.75" customHeight="1">
      <c r="A204" s="150" t="str">
        <f>IF(Главная!$P$9="Дол.",AX204,IF(Главная!$P$9="гривен.",AP204,IF(Главная!$P$9="рублей.",AI204,AP204)))</f>
        <v>Нежин</v>
      </c>
      <c r="B204" s="141">
        <v>2.12</v>
      </c>
      <c r="J204" s="141">
        <v>2.12</v>
      </c>
      <c r="K204" s="162">
        <f>IF(Главная!$P$9="Дол.",AY204,IF(Главная!$P$9="гривен.",AQ204,IF(Главная!$P$9="рублей.",AJ204,AQ204)))</f>
        <v>1.74</v>
      </c>
      <c r="L204" s="162">
        <f>IF(Главная!$P$9="Дол.",AZ204,IF(Главная!$P$9="гривен.",AR204,IF(Главная!$P$9="рублей.",AK204,AR204)))</f>
        <v>1.74</v>
      </c>
      <c r="M204" s="162">
        <f>IF(Главная!$P$9="Дол.",BA204,IF(Главная!$P$9="гривен.",AS204,IF(Главная!$P$9="рублей.",AL204,AS204)))</f>
        <v>1.74</v>
      </c>
      <c r="N204" s="162">
        <f>IF(Главная!$P$9="Дол.",BB204,IF(Главная!$P$9="гривен.",AT204,IF(Главная!$P$9="рублей.",AM204,AT204)))</f>
        <v>1.74</v>
      </c>
      <c r="O204" s="162">
        <f>IF(Главная!$P$9="Дол.",BC204,IF(Главная!$P$9="гривен.",AU204,IF(Главная!$P$9="рублей.",AN204,AU204)))</f>
        <v>1.74</v>
      </c>
      <c r="P204" s="141">
        <v>2.12</v>
      </c>
      <c r="Q204" s="141">
        <v>2.12</v>
      </c>
      <c r="AP204" s="144" t="s">
        <v>2316</v>
      </c>
      <c r="AQ204" s="141">
        <v>1.74</v>
      </c>
      <c r="AR204" s="141">
        <v>1.74</v>
      </c>
      <c r="AS204" s="141">
        <v>1.74</v>
      </c>
      <c r="AT204" s="141">
        <v>1.74</v>
      </c>
      <c r="AU204" s="141">
        <v>1.74</v>
      </c>
      <c r="AV204" s="141">
        <v>1.74</v>
      </c>
      <c r="AW204" s="141">
        <v>1.74</v>
      </c>
      <c r="AX204" s="126" t="s">
        <v>2585</v>
      </c>
    </row>
    <row r="205" spans="1:50" s="140" customFormat="1" ht="12.75" customHeight="1">
      <c r="A205" s="150" t="str">
        <f>IF(Главная!$P$9="Дол.",AX205,IF(Главная!$P$9="гривен.",AP205,IF(Главная!$P$9="рублей.",AI205,AP205)))</f>
        <v>Немиров</v>
      </c>
      <c r="B205" s="141">
        <v>2.23</v>
      </c>
      <c r="J205" s="141">
        <v>2.23</v>
      </c>
      <c r="K205" s="162">
        <f>IF(Главная!$P$9="Дол.",AY205,IF(Главная!$P$9="гривен.",AQ205,IF(Главная!$P$9="рублей.",AJ205,AQ205)))</f>
        <v>2.59</v>
      </c>
      <c r="L205" s="162">
        <f>IF(Главная!$P$9="Дол.",AZ205,IF(Главная!$P$9="гривен.",AR205,IF(Главная!$P$9="рублей.",AK205,AR205)))</f>
        <v>2.59</v>
      </c>
      <c r="M205" s="162">
        <f>IF(Главная!$P$9="Дол.",BA205,IF(Главная!$P$9="гривен.",AS205,IF(Главная!$P$9="рублей.",AL205,AS205)))</f>
        <v>2.59</v>
      </c>
      <c r="N205" s="162">
        <f>IF(Главная!$P$9="Дол.",BB205,IF(Главная!$P$9="гривен.",AT205,IF(Главная!$P$9="рублей.",AM205,AT205)))</f>
        <v>2.59</v>
      </c>
      <c r="O205" s="162">
        <f>IF(Главная!$P$9="Дол.",BC205,IF(Главная!$P$9="гривен.",AU205,IF(Главная!$P$9="рублей.",AN205,AU205)))</f>
        <v>2.59</v>
      </c>
      <c r="P205" s="141">
        <v>2.23</v>
      </c>
      <c r="Q205" s="141">
        <v>2.23</v>
      </c>
      <c r="AP205" s="144" t="s">
        <v>2315</v>
      </c>
      <c r="AQ205" s="141">
        <v>2.59</v>
      </c>
      <c r="AR205" s="141">
        <v>2.59</v>
      </c>
      <c r="AS205" s="141">
        <v>2.59</v>
      </c>
      <c r="AT205" s="141">
        <v>2.59</v>
      </c>
      <c r="AU205" s="141">
        <v>2.59</v>
      </c>
      <c r="AV205" s="141">
        <v>2.59</v>
      </c>
      <c r="AW205" s="141">
        <v>2.59</v>
      </c>
      <c r="AX205" s="126" t="s">
        <v>2586</v>
      </c>
    </row>
    <row r="206" spans="1:50" s="140" customFormat="1" ht="12.75" customHeight="1">
      <c r="A206" s="150" t="str">
        <f>IF(Главная!$P$9="Дол.",AX206,IF(Главная!$P$9="гривен.",AP206,IF(Главная!$P$9="рублей.",AI206,AP206)))</f>
        <v>Нетешин</v>
      </c>
      <c r="B206" s="141">
        <v>1.21</v>
      </c>
      <c r="J206" s="141">
        <v>1.21</v>
      </c>
      <c r="K206" s="162">
        <f>IF(Главная!$P$9="Дол.",AY206,IF(Главная!$P$9="гривен.",AQ206,IF(Главная!$P$9="рублей.",AJ206,AQ206)))</f>
        <v>2.12</v>
      </c>
      <c r="L206" s="162">
        <f>IF(Главная!$P$9="Дол.",AZ206,IF(Главная!$P$9="гривен.",AR206,IF(Главная!$P$9="рублей.",AK206,AR206)))</f>
        <v>2.12</v>
      </c>
      <c r="M206" s="162">
        <f>IF(Главная!$P$9="Дол.",BA206,IF(Главная!$P$9="гривен.",AS206,IF(Главная!$P$9="рублей.",AL206,AS206)))</f>
        <v>2.12</v>
      </c>
      <c r="N206" s="162">
        <f>IF(Главная!$P$9="Дол.",BB206,IF(Главная!$P$9="гривен.",AT206,IF(Главная!$P$9="рублей.",AM206,AT206)))</f>
        <v>2.12</v>
      </c>
      <c r="O206" s="162">
        <f>IF(Главная!$P$9="Дол.",BC206,IF(Главная!$P$9="гривен.",AU206,IF(Главная!$P$9="рублей.",AN206,AU206)))</f>
        <v>2.12</v>
      </c>
      <c r="P206" s="141">
        <v>1.21</v>
      </c>
      <c r="Q206" s="141">
        <v>1.21</v>
      </c>
      <c r="AP206" s="144" t="s">
        <v>2314</v>
      </c>
      <c r="AQ206" s="141">
        <v>2.12</v>
      </c>
      <c r="AR206" s="141">
        <v>2.12</v>
      </c>
      <c r="AS206" s="141">
        <v>2.12</v>
      </c>
      <c r="AT206" s="141">
        <v>2.12</v>
      </c>
      <c r="AU206" s="141">
        <v>2.12</v>
      </c>
      <c r="AV206" s="141">
        <v>2.12</v>
      </c>
      <c r="AW206" s="141">
        <v>2.12</v>
      </c>
      <c r="AX206" s="126" t="s">
        <v>2587</v>
      </c>
    </row>
    <row r="207" spans="1:50" s="140" customFormat="1" ht="12.75" customHeight="1">
      <c r="A207" s="150" t="str">
        <f>IF(Главная!$P$9="Дол.",AX207,IF(Главная!$P$9="гривен.",AP207,IF(Главная!$P$9="рублей.",AI207,AP207)))</f>
        <v>Нижнегорский</v>
      </c>
      <c r="B207" s="141">
        <v>2.12</v>
      </c>
      <c r="J207" s="141">
        <v>2.12</v>
      </c>
      <c r="K207" s="162">
        <f>IF(Главная!$P$9="Дол.",AY207,IF(Главная!$P$9="гривен.",AQ207,IF(Главная!$P$9="рублей.",AJ207,AQ207)))</f>
        <v>12</v>
      </c>
      <c r="L207" s="162">
        <f>IF(Главная!$P$9="Дол.",AZ207,IF(Главная!$P$9="гривен.",AR207,IF(Главная!$P$9="рублей.",AK207,AR207)))</f>
        <v>12</v>
      </c>
      <c r="M207" s="162">
        <f>IF(Главная!$P$9="Дол.",BA207,IF(Главная!$P$9="гривен.",AS207,IF(Главная!$P$9="рублей.",AL207,AS207)))</f>
        <v>12</v>
      </c>
      <c r="N207" s="162">
        <f>IF(Главная!$P$9="Дол.",BB207,IF(Главная!$P$9="гривен.",AT207,IF(Главная!$P$9="рублей.",AM207,AT207)))</f>
        <v>12</v>
      </c>
      <c r="O207" s="162">
        <f>IF(Главная!$P$9="Дол.",BC207,IF(Главная!$P$9="гривен.",AU207,IF(Главная!$P$9="рублей.",AN207,AU207)))</f>
        <v>12</v>
      </c>
      <c r="P207" s="141">
        <v>2.12</v>
      </c>
      <c r="Q207" s="141">
        <v>2.12</v>
      </c>
      <c r="AP207" s="144" t="s">
        <v>2313</v>
      </c>
      <c r="AQ207" s="141">
        <v>12</v>
      </c>
      <c r="AR207" s="141">
        <v>12</v>
      </c>
      <c r="AS207" s="141">
        <v>12</v>
      </c>
      <c r="AT207" s="141">
        <v>12</v>
      </c>
      <c r="AU207" s="141">
        <v>12</v>
      </c>
      <c r="AV207" s="141">
        <v>12</v>
      </c>
      <c r="AW207" s="141">
        <v>12</v>
      </c>
      <c r="AX207" s="126" t="s">
        <v>2588</v>
      </c>
    </row>
    <row r="208" spans="1:50" s="140" customFormat="1" ht="12.75" customHeight="1">
      <c r="A208" s="150" t="str">
        <f>IF(Главная!$P$9="Дол.",AX208,IF(Главная!$P$9="гривен.",AP208,IF(Главная!$P$9="рублей.",AI208,AP208)))</f>
        <v>Николаев</v>
      </c>
      <c r="B208" s="141">
        <v>1.86</v>
      </c>
      <c r="J208" s="141">
        <v>1.86</v>
      </c>
      <c r="K208" s="162">
        <f>IF(Главная!$P$9="Дол.",AY208,IF(Главная!$P$9="гривен.",AQ208,IF(Главная!$P$9="рублей.",AJ208,AQ208)))</f>
        <v>1.86</v>
      </c>
      <c r="L208" s="162">
        <f>IF(Главная!$P$9="Дол.",AZ208,IF(Главная!$P$9="гривен.",AR208,IF(Главная!$P$9="рублей.",AK208,AR208)))</f>
        <v>1.86</v>
      </c>
      <c r="M208" s="162">
        <f>IF(Главная!$P$9="Дол.",BA208,IF(Главная!$P$9="гривен.",AS208,IF(Главная!$P$9="рублей.",AL208,AS208)))</f>
        <v>1.86</v>
      </c>
      <c r="N208" s="162">
        <f>IF(Главная!$P$9="Дол.",BB208,IF(Главная!$P$9="гривен.",AT208,IF(Главная!$P$9="рублей.",AM208,AT208)))</f>
        <v>1.86</v>
      </c>
      <c r="O208" s="162">
        <f>IF(Главная!$P$9="Дол.",BC208,IF(Главная!$P$9="гривен.",AU208,IF(Главная!$P$9="рублей.",AN208,AU208)))</f>
        <v>1.86</v>
      </c>
      <c r="P208" s="141">
        <v>1.86</v>
      </c>
      <c r="Q208" s="141">
        <v>1.86</v>
      </c>
      <c r="AP208" s="144" t="s">
        <v>2312</v>
      </c>
      <c r="AQ208" s="141">
        <v>1.86</v>
      </c>
      <c r="AR208" s="141">
        <v>1.86</v>
      </c>
      <c r="AS208" s="141">
        <v>1.86</v>
      </c>
      <c r="AT208" s="141">
        <v>1.86</v>
      </c>
      <c r="AU208" s="141">
        <v>1.86</v>
      </c>
      <c r="AV208" s="141">
        <v>1.86</v>
      </c>
      <c r="AW208" s="141">
        <v>1.86</v>
      </c>
      <c r="AX208" s="126" t="s">
        <v>2589</v>
      </c>
    </row>
    <row r="209" spans="1:50" s="140" customFormat="1" ht="12.75" customHeight="1">
      <c r="A209" s="150" t="str">
        <f>IF(Главная!$P$9="Дол.",AX209,IF(Главная!$P$9="гривен.",AP209,IF(Главная!$P$9="рублей.",AI209,AP209)))</f>
        <v>Николаевка</v>
      </c>
      <c r="B209" s="141">
        <v>1.86</v>
      </c>
      <c r="J209" s="141">
        <v>1.86</v>
      </c>
      <c r="K209" s="162">
        <f>IF(Главная!$P$9="Дол.",AY209,IF(Главная!$P$9="гривен.",AQ209,IF(Главная!$P$9="рублей.",AJ209,AQ209)))</f>
        <v>1.86</v>
      </c>
      <c r="L209" s="162">
        <f>IF(Главная!$P$9="Дол.",AZ209,IF(Главная!$P$9="гривен.",AR209,IF(Главная!$P$9="рублей.",AK209,AR209)))</f>
        <v>1.86</v>
      </c>
      <c r="M209" s="162">
        <f>IF(Главная!$P$9="Дол.",BA209,IF(Главная!$P$9="гривен.",AS209,IF(Главная!$P$9="рублей.",AL209,AS209)))</f>
        <v>1.86</v>
      </c>
      <c r="N209" s="162">
        <f>IF(Главная!$P$9="Дол.",BB209,IF(Главная!$P$9="гривен.",AT209,IF(Главная!$P$9="рублей.",AM209,AT209)))</f>
        <v>1.86</v>
      </c>
      <c r="O209" s="162">
        <f>IF(Главная!$P$9="Дол.",BC209,IF(Главная!$P$9="гривен.",AU209,IF(Главная!$P$9="рублей.",AN209,AU209)))</f>
        <v>1.86</v>
      </c>
      <c r="P209" s="141">
        <v>1.86</v>
      </c>
      <c r="Q209" s="141">
        <v>1.86</v>
      </c>
      <c r="AP209" s="144" t="s">
        <v>2311</v>
      </c>
      <c r="AQ209" s="141">
        <v>1.86</v>
      </c>
      <c r="AR209" s="141">
        <v>1.86</v>
      </c>
      <c r="AS209" s="141">
        <v>1.86</v>
      </c>
      <c r="AT209" s="141">
        <v>1.86</v>
      </c>
      <c r="AU209" s="141">
        <v>1.86</v>
      </c>
      <c r="AV209" s="141">
        <v>1.86</v>
      </c>
      <c r="AW209" s="141">
        <v>1.86</v>
      </c>
      <c r="AX209" s="126" t="s">
        <v>2590</v>
      </c>
    </row>
    <row r="210" spans="1:50" s="140" customFormat="1" ht="12.75" customHeight="1">
      <c r="A210" s="150" t="str">
        <f>IF(Главная!$P$9="Дол.",AX210,IF(Главная!$P$9="гривен.",AP210,IF(Главная!$P$9="рублей.",AI210,AP210)))</f>
        <v>Никополь</v>
      </c>
      <c r="B210" s="141">
        <v>2.23</v>
      </c>
      <c r="J210" s="141">
        <v>2.23</v>
      </c>
      <c r="K210" s="162">
        <f>IF(Главная!$P$9="Дол.",AY210,IF(Главная!$P$9="гривен.",AQ210,IF(Главная!$P$9="рублей.",AJ210,AQ210)))</f>
        <v>1.74</v>
      </c>
      <c r="L210" s="162">
        <f>IF(Главная!$P$9="Дол.",AZ210,IF(Главная!$P$9="гривен.",AR210,IF(Главная!$P$9="рублей.",AK210,AR210)))</f>
        <v>1.74</v>
      </c>
      <c r="M210" s="162">
        <f>IF(Главная!$P$9="Дол.",BA210,IF(Главная!$P$9="гривен.",AS210,IF(Главная!$P$9="рублей.",AL210,AS210)))</f>
        <v>1.74</v>
      </c>
      <c r="N210" s="162">
        <f>IF(Главная!$P$9="Дол.",BB210,IF(Главная!$P$9="гривен.",AT210,IF(Главная!$P$9="рублей.",AM210,AT210)))</f>
        <v>1.74</v>
      </c>
      <c r="O210" s="162">
        <f>IF(Главная!$P$9="Дол.",BC210,IF(Главная!$P$9="гривен.",AU210,IF(Главная!$P$9="рублей.",AN210,AU210)))</f>
        <v>1.74</v>
      </c>
      <c r="P210" s="141">
        <v>2.23</v>
      </c>
      <c r="Q210" s="141">
        <v>2.23</v>
      </c>
      <c r="AP210" s="144" t="s">
        <v>2310</v>
      </c>
      <c r="AQ210" s="141">
        <v>1.74</v>
      </c>
      <c r="AR210" s="141">
        <v>1.74</v>
      </c>
      <c r="AS210" s="141">
        <v>1.74</v>
      </c>
      <c r="AT210" s="141">
        <v>1.74</v>
      </c>
      <c r="AU210" s="141">
        <v>1.74</v>
      </c>
      <c r="AV210" s="141">
        <v>1.74</v>
      </c>
      <c r="AW210" s="141">
        <v>1.74</v>
      </c>
      <c r="AX210" s="126" t="s">
        <v>2583</v>
      </c>
    </row>
    <row r="211" spans="1:50" s="140" customFormat="1" ht="12.75" customHeight="1">
      <c r="A211" s="150" t="str">
        <f>IF(Главная!$P$9="Дол.",AX211,IF(Главная!$P$9="гривен.",AP211,IF(Главная!$P$9="рублей.",AI211,AP211)))</f>
        <v>Новая Каховка</v>
      </c>
      <c r="B211" s="141">
        <v>12</v>
      </c>
      <c r="J211" s="141">
        <v>12</v>
      </c>
      <c r="K211" s="162">
        <f>IF(Главная!$P$9="Дол.",AY211,IF(Главная!$P$9="гривен.",AQ211,IF(Главная!$P$9="рублей.",AJ211,AQ211)))</f>
        <v>1.74</v>
      </c>
      <c r="L211" s="162">
        <f>IF(Главная!$P$9="Дол.",AZ211,IF(Главная!$P$9="гривен.",AR211,IF(Главная!$P$9="рублей.",AK211,AR211)))</f>
        <v>1.74</v>
      </c>
      <c r="M211" s="162">
        <f>IF(Главная!$P$9="Дол.",BA211,IF(Главная!$P$9="гривен.",AS211,IF(Главная!$P$9="рублей.",AL211,AS211)))</f>
        <v>1.74</v>
      </c>
      <c r="N211" s="162">
        <f>IF(Главная!$P$9="Дол.",BB211,IF(Главная!$P$9="гривен.",AT211,IF(Главная!$P$9="рублей.",AM211,AT211)))</f>
        <v>1.74</v>
      </c>
      <c r="O211" s="162">
        <f>IF(Главная!$P$9="Дол.",BC211,IF(Главная!$P$9="гривен.",AU211,IF(Главная!$P$9="рублей.",AN211,AU211)))</f>
        <v>1.74</v>
      </c>
      <c r="P211" s="141">
        <v>12</v>
      </c>
      <c r="Q211" s="141">
        <v>12</v>
      </c>
      <c r="AP211" s="144" t="s">
        <v>2309</v>
      </c>
      <c r="AQ211" s="141">
        <v>1.74</v>
      </c>
      <c r="AR211" s="141">
        <v>1.74</v>
      </c>
      <c r="AS211" s="141">
        <v>1.74</v>
      </c>
      <c r="AT211" s="141">
        <v>1.74</v>
      </c>
      <c r="AU211" s="141">
        <v>1.74</v>
      </c>
      <c r="AV211" s="141">
        <v>1.74</v>
      </c>
      <c r="AW211" s="141">
        <v>1.74</v>
      </c>
      <c r="AX211" s="126" t="s">
        <v>2584</v>
      </c>
    </row>
    <row r="212" spans="1:50" s="140" customFormat="1" ht="12.75" customHeight="1">
      <c r="A212" s="150" t="str">
        <f>IF(Главная!$P$9="Дол.",AX212,IF(Главная!$P$9="гривен.",AP212,IF(Главная!$P$9="рублей.",AI212,AP212)))</f>
        <v>Новгородка</v>
      </c>
      <c r="B212" s="141">
        <v>2.23</v>
      </c>
      <c r="J212" s="141">
        <v>2.23</v>
      </c>
      <c r="K212" s="162">
        <f>IF(Главная!$P$9="Дол.",AY212,IF(Главная!$P$9="гривен.",AQ212,IF(Главная!$P$9="рублей.",AJ212,AQ212)))</f>
        <v>2.12</v>
      </c>
      <c r="L212" s="162">
        <f>IF(Главная!$P$9="Дол.",AZ212,IF(Главная!$P$9="гривен.",AR212,IF(Главная!$P$9="рублей.",AK212,AR212)))</f>
        <v>2.12</v>
      </c>
      <c r="M212" s="162">
        <f>IF(Главная!$P$9="Дол.",BA212,IF(Главная!$P$9="гривен.",AS212,IF(Главная!$P$9="рублей.",AL212,AS212)))</f>
        <v>2.12</v>
      </c>
      <c r="N212" s="162">
        <f>IF(Главная!$P$9="Дол.",BB212,IF(Главная!$P$9="гривен.",AT212,IF(Главная!$P$9="рублей.",AM212,AT212)))</f>
        <v>2.12</v>
      </c>
      <c r="O212" s="162">
        <f>IF(Главная!$P$9="Дол.",BC212,IF(Главная!$P$9="гривен.",AU212,IF(Главная!$P$9="рублей.",AN212,AU212)))</f>
        <v>2.12</v>
      </c>
      <c r="P212" s="141">
        <v>2.23</v>
      </c>
      <c r="Q212" s="141">
        <v>2.23</v>
      </c>
      <c r="AP212" s="144" t="s">
        <v>2308</v>
      </c>
      <c r="AQ212" s="141">
        <v>2.12</v>
      </c>
      <c r="AR212" s="141">
        <v>2.12</v>
      </c>
      <c r="AS212" s="141">
        <v>2.12</v>
      </c>
      <c r="AT212" s="141">
        <v>2.12</v>
      </c>
      <c r="AU212" s="141">
        <v>2.12</v>
      </c>
      <c r="AV212" s="141">
        <v>2.12</v>
      </c>
      <c r="AW212" s="141">
        <v>2.12</v>
      </c>
      <c r="AX212" s="126" t="s">
        <v>2585</v>
      </c>
    </row>
    <row r="213" spans="1:50" s="140" customFormat="1" ht="12.75" customHeight="1">
      <c r="A213" s="150" t="str">
        <f>IF(Главная!$P$9="Дол.",AX213,IF(Главная!$P$9="гривен.",AP213,IF(Главная!$P$9="рублей.",AI213,AP213)))</f>
        <v>Новоайдар</v>
      </c>
      <c r="B213" s="141">
        <v>1.21</v>
      </c>
      <c r="J213" s="141">
        <v>1.21</v>
      </c>
      <c r="K213" s="162">
        <f>IF(Главная!$P$9="Дол.",AY213,IF(Главная!$P$9="гривен.",AQ213,IF(Главная!$P$9="рублей.",AJ213,AQ213)))</f>
        <v>2.23</v>
      </c>
      <c r="L213" s="162">
        <f>IF(Главная!$P$9="Дол.",AZ213,IF(Главная!$P$9="гривен.",AR213,IF(Главная!$P$9="рублей.",AK213,AR213)))</f>
        <v>2.23</v>
      </c>
      <c r="M213" s="162">
        <f>IF(Главная!$P$9="Дол.",BA213,IF(Главная!$P$9="гривен.",AS213,IF(Главная!$P$9="рублей.",AL213,AS213)))</f>
        <v>2.23</v>
      </c>
      <c r="N213" s="162">
        <f>IF(Главная!$P$9="Дол.",BB213,IF(Главная!$P$9="гривен.",AT213,IF(Главная!$P$9="рублей.",AM213,AT213)))</f>
        <v>2.23</v>
      </c>
      <c r="O213" s="162">
        <f>IF(Главная!$P$9="Дол.",BC213,IF(Главная!$P$9="гривен.",AU213,IF(Главная!$P$9="рублей.",AN213,AU213)))</f>
        <v>2.23</v>
      </c>
      <c r="P213" s="141">
        <v>1.21</v>
      </c>
      <c r="Q213" s="141">
        <v>1.21</v>
      </c>
      <c r="AP213" s="144" t="s">
        <v>2307</v>
      </c>
      <c r="AQ213" s="141">
        <v>2.23</v>
      </c>
      <c r="AR213" s="141">
        <v>2.23</v>
      </c>
      <c r="AS213" s="141">
        <v>2.23</v>
      </c>
      <c r="AT213" s="141">
        <v>2.23</v>
      </c>
      <c r="AU213" s="141">
        <v>2.23</v>
      </c>
      <c r="AV213" s="141">
        <v>2.23</v>
      </c>
      <c r="AW213" s="141">
        <v>2.23</v>
      </c>
      <c r="AX213" s="126" t="s">
        <v>2586</v>
      </c>
    </row>
    <row r="214" spans="1:50" s="140" customFormat="1" ht="12.75" customHeight="1">
      <c r="A214" s="150" t="str">
        <f>IF(Главная!$P$9="Дол.",AX214,IF(Главная!$P$9="гривен.",AP214,IF(Главная!$P$9="рублей.",AI214,AP214)))</f>
        <v>Нововолынск</v>
      </c>
      <c r="B214" s="141">
        <v>1.86</v>
      </c>
      <c r="J214" s="141">
        <v>1.86</v>
      </c>
      <c r="K214" s="162">
        <f>IF(Главная!$P$9="Дол.",AY214,IF(Главная!$P$9="гривен.",AQ214,IF(Главная!$P$9="рублей.",AJ214,AQ214)))</f>
        <v>2.12</v>
      </c>
      <c r="L214" s="162">
        <f>IF(Главная!$P$9="Дол.",AZ214,IF(Главная!$P$9="гривен.",AR214,IF(Главная!$P$9="рублей.",AK214,AR214)))</f>
        <v>2.12</v>
      </c>
      <c r="M214" s="162">
        <f>IF(Главная!$P$9="Дол.",BA214,IF(Главная!$P$9="гривен.",AS214,IF(Главная!$P$9="рублей.",AL214,AS214)))</f>
        <v>2.12</v>
      </c>
      <c r="N214" s="162">
        <f>IF(Главная!$P$9="Дол.",BB214,IF(Главная!$P$9="гривен.",AT214,IF(Главная!$P$9="рублей.",AM214,AT214)))</f>
        <v>2.12</v>
      </c>
      <c r="O214" s="162">
        <f>IF(Главная!$P$9="Дол.",BC214,IF(Главная!$P$9="гривен.",AU214,IF(Главная!$P$9="рублей.",AN214,AU214)))</f>
        <v>2.12</v>
      </c>
      <c r="P214" s="141">
        <v>1.86</v>
      </c>
      <c r="Q214" s="141">
        <v>1.86</v>
      </c>
      <c r="AP214" s="144" t="s">
        <v>2306</v>
      </c>
      <c r="AQ214" s="141">
        <v>2.12</v>
      </c>
      <c r="AR214" s="141">
        <v>2.12</v>
      </c>
      <c r="AS214" s="141">
        <v>2.12</v>
      </c>
      <c r="AT214" s="141">
        <v>2.12</v>
      </c>
      <c r="AU214" s="141">
        <v>2.12</v>
      </c>
      <c r="AV214" s="141">
        <v>2.12</v>
      </c>
      <c r="AW214" s="141">
        <v>2.12</v>
      </c>
      <c r="AX214" s="126" t="s">
        <v>2587</v>
      </c>
    </row>
    <row r="215" spans="1:50" s="140" customFormat="1" ht="12.75" customHeight="1">
      <c r="A215" s="150" t="str">
        <f>IF(Главная!$P$9="Дол.",AX215,IF(Главная!$P$9="гривен.",AP215,IF(Главная!$P$9="рублей.",AI215,AP215)))</f>
        <v>Новоград-Волынский</v>
      </c>
      <c r="B215" s="141">
        <v>1.47</v>
      </c>
      <c r="J215" s="141">
        <v>1.47</v>
      </c>
      <c r="K215" s="162">
        <f>IF(Главная!$P$9="Дол.",AY215,IF(Главная!$P$9="гривен.",AQ215,IF(Главная!$P$9="рублей.",AJ215,AQ215)))</f>
        <v>1.86</v>
      </c>
      <c r="L215" s="162">
        <f>IF(Главная!$P$9="Дол.",AZ215,IF(Главная!$P$9="гривен.",AR215,IF(Главная!$P$9="рублей.",AK215,AR215)))</f>
        <v>1.86</v>
      </c>
      <c r="M215" s="162">
        <f>IF(Главная!$P$9="Дол.",BA215,IF(Главная!$P$9="гривен.",AS215,IF(Главная!$P$9="рублей.",AL215,AS215)))</f>
        <v>1.86</v>
      </c>
      <c r="N215" s="162">
        <f>IF(Главная!$P$9="Дол.",BB215,IF(Главная!$P$9="гривен.",AT215,IF(Главная!$P$9="рублей.",AM215,AT215)))</f>
        <v>1.86</v>
      </c>
      <c r="O215" s="162">
        <f>IF(Главная!$P$9="Дол.",BC215,IF(Главная!$P$9="гривен.",AU215,IF(Главная!$P$9="рублей.",AN215,AU215)))</f>
        <v>1.86</v>
      </c>
      <c r="P215" s="141">
        <v>1.47</v>
      </c>
      <c r="Q215" s="141">
        <v>1.47</v>
      </c>
      <c r="AP215" s="144" t="s">
        <v>2305</v>
      </c>
      <c r="AQ215" s="141">
        <v>1.86</v>
      </c>
      <c r="AR215" s="141">
        <v>1.86</v>
      </c>
      <c r="AS215" s="141">
        <v>1.86</v>
      </c>
      <c r="AT215" s="141">
        <v>1.86</v>
      </c>
      <c r="AU215" s="141">
        <v>1.86</v>
      </c>
      <c r="AV215" s="141">
        <v>1.86</v>
      </c>
      <c r="AW215" s="141">
        <v>1.86</v>
      </c>
      <c r="AX215" s="126" t="s">
        <v>2588</v>
      </c>
    </row>
    <row r="216" spans="1:50" s="140" customFormat="1" ht="12.75" customHeight="1">
      <c r="A216" s="150" t="str">
        <f>IF(Главная!$P$9="Дол.",AX216,IF(Главная!$P$9="гривен.",AP216,IF(Главная!$P$9="рублей.",AI216,AP216)))</f>
        <v>Новомиргород</v>
      </c>
      <c r="B216" s="141">
        <v>1.47</v>
      </c>
      <c r="J216" s="141">
        <v>1.47</v>
      </c>
      <c r="K216" s="162">
        <f>IF(Главная!$P$9="Дол.",AY216,IF(Главная!$P$9="гривен.",AQ216,IF(Главная!$P$9="рублей.",AJ216,AQ216)))</f>
        <v>2.12</v>
      </c>
      <c r="L216" s="162">
        <f>IF(Главная!$P$9="Дол.",AZ216,IF(Главная!$P$9="гривен.",AR216,IF(Главная!$P$9="рублей.",AK216,AR216)))</f>
        <v>2.12</v>
      </c>
      <c r="M216" s="162">
        <f>IF(Главная!$P$9="Дол.",BA216,IF(Главная!$P$9="гривен.",AS216,IF(Главная!$P$9="рублей.",AL216,AS216)))</f>
        <v>2.12</v>
      </c>
      <c r="N216" s="162">
        <f>IF(Главная!$P$9="Дол.",BB216,IF(Главная!$P$9="гривен.",AT216,IF(Главная!$P$9="рублей.",AM216,AT216)))</f>
        <v>2.12</v>
      </c>
      <c r="O216" s="162">
        <f>IF(Главная!$P$9="Дол.",BC216,IF(Главная!$P$9="гривен.",AU216,IF(Главная!$P$9="рублей.",AN216,AU216)))</f>
        <v>2.12</v>
      </c>
      <c r="P216" s="141">
        <v>1.47</v>
      </c>
      <c r="Q216" s="141">
        <v>1.47</v>
      </c>
      <c r="AP216" s="144" t="s">
        <v>2304</v>
      </c>
      <c r="AQ216" s="141">
        <v>2.12</v>
      </c>
      <c r="AR216" s="141">
        <v>2.12</v>
      </c>
      <c r="AS216" s="141">
        <v>2.12</v>
      </c>
      <c r="AT216" s="141">
        <v>2.12</v>
      </c>
      <c r="AU216" s="141">
        <v>2.12</v>
      </c>
      <c r="AV216" s="141">
        <v>2.12</v>
      </c>
      <c r="AW216" s="141">
        <v>2.12</v>
      </c>
      <c r="AX216" s="126" t="s">
        <v>2589</v>
      </c>
    </row>
    <row r="217" spans="1:50" s="140" customFormat="1" ht="12.75" customHeight="1">
      <c r="A217" s="150" t="str">
        <f>IF(Главная!$P$9="Дол.",AX217,IF(Главная!$P$9="гривен.",AP217,IF(Главная!$P$9="рублей.",AI217,AP217)))</f>
        <v>Новомосковск</v>
      </c>
      <c r="B217" s="141">
        <v>1.74</v>
      </c>
      <c r="J217" s="141">
        <v>1.74</v>
      </c>
      <c r="K217" s="162">
        <f>IF(Главная!$P$9="Дол.",AY217,IF(Главная!$P$9="гривен.",AQ217,IF(Главная!$P$9="рублей.",AJ217,AQ217)))</f>
        <v>1.21</v>
      </c>
      <c r="L217" s="162">
        <f>IF(Главная!$P$9="Дол.",AZ217,IF(Главная!$P$9="гривен.",AR217,IF(Главная!$P$9="рублей.",AK217,AR217)))</f>
        <v>1.21</v>
      </c>
      <c r="M217" s="162">
        <f>IF(Главная!$P$9="Дол.",BA217,IF(Главная!$P$9="гривен.",AS217,IF(Главная!$P$9="рублей.",AL217,AS217)))</f>
        <v>1.21</v>
      </c>
      <c r="N217" s="162">
        <f>IF(Главная!$P$9="Дол.",BB217,IF(Главная!$P$9="гривен.",AT217,IF(Главная!$P$9="рублей.",AM217,AT217)))</f>
        <v>1.21</v>
      </c>
      <c r="O217" s="162">
        <f>IF(Главная!$P$9="Дол.",BC217,IF(Главная!$P$9="гривен.",AU217,IF(Главная!$P$9="рублей.",AN217,AU217)))</f>
        <v>1.21</v>
      </c>
      <c r="P217" s="141">
        <v>1.74</v>
      </c>
      <c r="Q217" s="141">
        <v>1.74</v>
      </c>
      <c r="AP217" s="144" t="s">
        <v>2303</v>
      </c>
      <c r="AQ217" s="141">
        <v>1.21</v>
      </c>
      <c r="AR217" s="141">
        <v>1.21</v>
      </c>
      <c r="AS217" s="141">
        <v>1.21</v>
      </c>
      <c r="AT217" s="141">
        <v>1.21</v>
      </c>
      <c r="AU217" s="141">
        <v>1.21</v>
      </c>
      <c r="AV217" s="141">
        <v>1.21</v>
      </c>
      <c r="AW217" s="141">
        <v>1.21</v>
      </c>
      <c r="AX217" s="126" t="s">
        <v>2590</v>
      </c>
    </row>
    <row r="218" spans="1:50" s="140" customFormat="1" ht="12.75" customHeight="1">
      <c r="A218" s="150" t="str">
        <f>IF(Главная!$P$9="Дол.",AX218,IF(Главная!$P$9="гривен.",AP218,IF(Главная!$P$9="рублей.",AI218,AP218)))</f>
        <v>Новопсков</v>
      </c>
      <c r="B218" s="141">
        <v>2.23</v>
      </c>
      <c r="J218" s="141">
        <v>2.23</v>
      </c>
      <c r="K218" s="162">
        <f>IF(Главная!$P$9="Дол.",AY218,IF(Главная!$P$9="гривен.",AQ218,IF(Главная!$P$9="рублей.",AJ218,AQ218)))</f>
        <v>2.23</v>
      </c>
      <c r="L218" s="162">
        <f>IF(Главная!$P$9="Дол.",AZ218,IF(Главная!$P$9="гривен.",AR218,IF(Главная!$P$9="рублей.",AK218,AR218)))</f>
        <v>2.23</v>
      </c>
      <c r="M218" s="162">
        <f>IF(Главная!$P$9="Дол.",BA218,IF(Главная!$P$9="гривен.",AS218,IF(Главная!$P$9="рублей.",AL218,AS218)))</f>
        <v>2.23</v>
      </c>
      <c r="N218" s="162">
        <f>IF(Главная!$P$9="Дол.",BB218,IF(Главная!$P$9="гривен.",AT218,IF(Главная!$P$9="рублей.",AM218,AT218)))</f>
        <v>2.23</v>
      </c>
      <c r="O218" s="162">
        <f>IF(Главная!$P$9="Дол.",BC218,IF(Главная!$P$9="гривен.",AU218,IF(Главная!$P$9="рублей.",AN218,AU218)))</f>
        <v>2.23</v>
      </c>
      <c r="P218" s="141">
        <v>2.23</v>
      </c>
      <c r="Q218" s="141">
        <v>2.23</v>
      </c>
      <c r="AP218" s="144" t="s">
        <v>2302</v>
      </c>
      <c r="AQ218" s="141">
        <v>2.23</v>
      </c>
      <c r="AR218" s="141">
        <v>2.23</v>
      </c>
      <c r="AS218" s="141">
        <v>2.23</v>
      </c>
      <c r="AT218" s="141">
        <v>2.23</v>
      </c>
      <c r="AU218" s="141">
        <v>2.23</v>
      </c>
      <c r="AV218" s="141">
        <v>2.23</v>
      </c>
      <c r="AW218" s="141">
        <v>2.23</v>
      </c>
      <c r="AX218" s="126" t="s">
        <v>2583</v>
      </c>
    </row>
    <row r="219" spans="1:50" s="140" customFormat="1" ht="12.75" customHeight="1">
      <c r="A219" s="150" t="str">
        <f>IF(Главная!$P$9="Дол.",AX219,IF(Главная!$P$9="гривен.",AP219,IF(Главная!$P$9="рублей.",AI219,AP219)))</f>
        <v>Новотроицкое</v>
      </c>
      <c r="B219" s="141">
        <v>2.23</v>
      </c>
      <c r="J219" s="141">
        <v>2.23</v>
      </c>
      <c r="K219" s="162">
        <f>IF(Главная!$P$9="Дол.",AY219,IF(Главная!$P$9="гривен.",AQ219,IF(Главная!$P$9="рублей.",AJ219,AQ219)))</f>
        <v>2.12</v>
      </c>
      <c r="L219" s="162">
        <f>IF(Главная!$P$9="Дол.",AZ219,IF(Главная!$P$9="гривен.",AR219,IF(Главная!$P$9="рублей.",AK219,AR219)))</f>
        <v>2.12</v>
      </c>
      <c r="M219" s="162">
        <f>IF(Главная!$P$9="Дол.",BA219,IF(Главная!$P$9="гривен.",AS219,IF(Главная!$P$9="рублей.",AL219,AS219)))</f>
        <v>2.12</v>
      </c>
      <c r="N219" s="162">
        <f>IF(Главная!$P$9="Дол.",BB219,IF(Главная!$P$9="гривен.",AT219,IF(Главная!$P$9="рублей.",AM219,AT219)))</f>
        <v>2.12</v>
      </c>
      <c r="O219" s="162">
        <f>IF(Главная!$P$9="Дол.",BC219,IF(Главная!$P$9="гривен.",AU219,IF(Главная!$P$9="рублей.",AN219,AU219)))</f>
        <v>2.12</v>
      </c>
      <c r="P219" s="141">
        <v>2.23</v>
      </c>
      <c r="Q219" s="141">
        <v>2.23</v>
      </c>
      <c r="AP219" s="144" t="s">
        <v>2301</v>
      </c>
      <c r="AQ219" s="141">
        <v>2.12</v>
      </c>
      <c r="AR219" s="141">
        <v>2.12</v>
      </c>
      <c r="AS219" s="141">
        <v>2.12</v>
      </c>
      <c r="AT219" s="141">
        <v>2.12</v>
      </c>
      <c r="AU219" s="141">
        <v>2.12</v>
      </c>
      <c r="AV219" s="141">
        <v>2.12</v>
      </c>
      <c r="AW219" s="141">
        <v>2.12</v>
      </c>
      <c r="AX219" s="126" t="s">
        <v>2584</v>
      </c>
    </row>
    <row r="220" spans="1:50" s="140" customFormat="1" ht="12.75" customHeight="1">
      <c r="A220" s="150" t="str">
        <f>IF(Главная!$P$9="Дол.",AX220,IF(Главная!$P$9="гривен.",AP220,IF(Главная!$P$9="рублей.",AI220,AP220)))</f>
        <v>Новоукраинка</v>
      </c>
      <c r="B220" s="141">
        <v>2.59</v>
      </c>
      <c r="J220" s="141">
        <v>2.59</v>
      </c>
      <c r="K220" s="162">
        <f>IF(Главная!$P$9="Дол.",AY220,IF(Главная!$P$9="гривен.",AQ220,IF(Главная!$P$9="рублей.",AJ220,AQ220)))</f>
        <v>2.12</v>
      </c>
      <c r="L220" s="162">
        <f>IF(Главная!$P$9="Дол.",AZ220,IF(Главная!$P$9="гривен.",AR220,IF(Главная!$P$9="рублей.",AK220,AR220)))</f>
        <v>2.12</v>
      </c>
      <c r="M220" s="162">
        <f>IF(Главная!$P$9="Дол.",BA220,IF(Главная!$P$9="гривен.",AS220,IF(Главная!$P$9="рублей.",AL220,AS220)))</f>
        <v>2.12</v>
      </c>
      <c r="N220" s="162">
        <f>IF(Главная!$P$9="Дол.",BB220,IF(Главная!$P$9="гривен.",AT220,IF(Главная!$P$9="рублей.",AM220,AT220)))</f>
        <v>2.12</v>
      </c>
      <c r="O220" s="162">
        <f>IF(Главная!$P$9="Дол.",BC220,IF(Главная!$P$9="гривен.",AU220,IF(Главная!$P$9="рублей.",AN220,AU220)))</f>
        <v>2.12</v>
      </c>
      <c r="P220" s="141">
        <v>2.59</v>
      </c>
      <c r="Q220" s="141">
        <v>2.59</v>
      </c>
      <c r="AP220" s="144" t="s">
        <v>2300</v>
      </c>
      <c r="AQ220" s="141">
        <v>2.12</v>
      </c>
      <c r="AR220" s="141">
        <v>2.12</v>
      </c>
      <c r="AS220" s="141">
        <v>2.12</v>
      </c>
      <c r="AT220" s="141">
        <v>2.12</v>
      </c>
      <c r="AU220" s="141">
        <v>2.12</v>
      </c>
      <c r="AV220" s="141">
        <v>2.12</v>
      </c>
      <c r="AW220" s="141">
        <v>2.12</v>
      </c>
      <c r="AX220" s="126" t="s">
        <v>2585</v>
      </c>
    </row>
    <row r="221" spans="1:50" s="140" customFormat="1" ht="12.75" customHeight="1">
      <c r="A221" s="150" t="str">
        <f>IF(Главная!$P$9="Дол.",AX221,IF(Главная!$P$9="гривен.",AP221,IF(Главная!$P$9="рублей.",AI221,AP221)))</f>
        <v>Новые Санжары</v>
      </c>
      <c r="B221" s="141">
        <v>2.12</v>
      </c>
      <c r="J221" s="141">
        <v>2.12</v>
      </c>
      <c r="K221" s="162">
        <f>IF(Главная!$P$9="Дол.",AY221,IF(Главная!$P$9="гривен.",AQ221,IF(Главная!$P$9="рублей.",AJ221,AQ221)))</f>
        <v>1.21</v>
      </c>
      <c r="L221" s="162">
        <f>IF(Главная!$P$9="Дол.",AZ221,IF(Главная!$P$9="гривен.",AR221,IF(Главная!$P$9="рублей.",AK221,AR221)))</f>
        <v>1.21</v>
      </c>
      <c r="M221" s="162">
        <f>IF(Главная!$P$9="Дол.",BA221,IF(Главная!$P$9="гривен.",AS221,IF(Главная!$P$9="рублей.",AL221,AS221)))</f>
        <v>1.21</v>
      </c>
      <c r="N221" s="162">
        <f>IF(Главная!$P$9="Дол.",BB221,IF(Главная!$P$9="гривен.",AT221,IF(Главная!$P$9="рублей.",AM221,AT221)))</f>
        <v>1.21</v>
      </c>
      <c r="O221" s="162">
        <f>IF(Главная!$P$9="Дол.",BC221,IF(Главная!$P$9="гривен.",AU221,IF(Главная!$P$9="рублей.",AN221,AU221)))</f>
        <v>1.21</v>
      </c>
      <c r="P221" s="141">
        <v>2.12</v>
      </c>
      <c r="Q221" s="141">
        <v>2.12</v>
      </c>
      <c r="AP221" s="144" t="s">
        <v>2299</v>
      </c>
      <c r="AQ221" s="141">
        <v>1.21</v>
      </c>
      <c r="AR221" s="141">
        <v>1.21</v>
      </c>
      <c r="AS221" s="141">
        <v>1.21</v>
      </c>
      <c r="AT221" s="141">
        <v>1.21</v>
      </c>
      <c r="AU221" s="141">
        <v>1.21</v>
      </c>
      <c r="AV221" s="141">
        <v>1.21</v>
      </c>
      <c r="AW221" s="141">
        <v>1.21</v>
      </c>
      <c r="AX221" s="126" t="s">
        <v>2586</v>
      </c>
    </row>
    <row r="222" spans="1:50" s="140" customFormat="1" ht="12.75" customHeight="1">
      <c r="A222" s="150" t="str">
        <f>IF(Главная!$P$9="Дол.",AX222,IF(Главная!$P$9="гривен.",AP222,IF(Главная!$P$9="рублей.",AI222,AP222)))</f>
        <v>Новый Буг</v>
      </c>
      <c r="B222" s="141">
        <v>2.12</v>
      </c>
      <c r="J222" s="141">
        <v>2.12</v>
      </c>
      <c r="K222" s="162">
        <f>IF(Главная!$P$9="Дол.",AY222,IF(Главная!$P$9="гривен.",AQ222,IF(Главная!$P$9="рублей.",AJ222,AQ222)))</f>
        <v>2.12</v>
      </c>
      <c r="L222" s="162">
        <f>IF(Главная!$P$9="Дол.",AZ222,IF(Главная!$P$9="гривен.",AR222,IF(Главная!$P$9="рублей.",AK222,AR222)))</f>
        <v>2.12</v>
      </c>
      <c r="M222" s="162">
        <f>IF(Главная!$P$9="Дол.",BA222,IF(Главная!$P$9="гривен.",AS222,IF(Главная!$P$9="рублей.",AL222,AS222)))</f>
        <v>2.12</v>
      </c>
      <c r="N222" s="162">
        <f>IF(Главная!$P$9="Дол.",BB222,IF(Главная!$P$9="гривен.",AT222,IF(Главная!$P$9="рублей.",AM222,AT222)))</f>
        <v>2.12</v>
      </c>
      <c r="O222" s="162">
        <f>IF(Главная!$P$9="Дол.",BC222,IF(Главная!$P$9="гривен.",AU222,IF(Главная!$P$9="рублей.",AN222,AU222)))</f>
        <v>2.12</v>
      </c>
      <c r="P222" s="141">
        <v>2.12</v>
      </c>
      <c r="Q222" s="141">
        <v>2.12</v>
      </c>
      <c r="AP222" s="144" t="s">
        <v>2298</v>
      </c>
      <c r="AQ222" s="141">
        <v>2.12</v>
      </c>
      <c r="AR222" s="141">
        <v>2.12</v>
      </c>
      <c r="AS222" s="141">
        <v>2.12</v>
      </c>
      <c r="AT222" s="141">
        <v>2.12</v>
      </c>
      <c r="AU222" s="141">
        <v>2.12</v>
      </c>
      <c r="AV222" s="141">
        <v>2.12</v>
      </c>
      <c r="AW222" s="141">
        <v>2.12</v>
      </c>
      <c r="AX222" s="126" t="s">
        <v>2587</v>
      </c>
    </row>
    <row r="223" spans="1:50" s="140" customFormat="1" ht="12.75" customHeight="1">
      <c r="A223" s="150" t="str">
        <f>IF(Главная!$P$9="Дол.",AX223,IF(Главная!$P$9="гривен.",AP223,IF(Главная!$P$9="рублей.",AI223,AP223)))</f>
        <v>Новый Роздол</v>
      </c>
      <c r="B223" s="141">
        <v>2.12</v>
      </c>
      <c r="J223" s="141">
        <v>2.12</v>
      </c>
      <c r="K223" s="162">
        <f>IF(Главная!$P$9="Дол.",AY223,IF(Главная!$P$9="гривен.",AQ223,IF(Главная!$P$9="рублей.",AJ223,AQ223)))</f>
        <v>2.12</v>
      </c>
      <c r="L223" s="162">
        <f>IF(Главная!$P$9="Дол.",AZ223,IF(Главная!$P$9="гривен.",AR223,IF(Главная!$P$9="рублей.",AK223,AR223)))</f>
        <v>2.12</v>
      </c>
      <c r="M223" s="162">
        <f>IF(Главная!$P$9="Дол.",BA223,IF(Главная!$P$9="гривен.",AS223,IF(Главная!$P$9="рублей.",AL223,AS223)))</f>
        <v>2.12</v>
      </c>
      <c r="N223" s="162">
        <f>IF(Главная!$P$9="Дол.",BB223,IF(Главная!$P$9="гривен.",AT223,IF(Главная!$P$9="рублей.",AM223,AT223)))</f>
        <v>2.12</v>
      </c>
      <c r="O223" s="162">
        <f>IF(Главная!$P$9="Дол.",BC223,IF(Главная!$P$9="гривен.",AU223,IF(Главная!$P$9="рублей.",AN223,AU223)))</f>
        <v>2.12</v>
      </c>
      <c r="P223" s="141">
        <v>2.12</v>
      </c>
      <c r="Q223" s="141">
        <v>2.12</v>
      </c>
      <c r="AP223" s="144" t="s">
        <v>2297</v>
      </c>
      <c r="AQ223" s="141">
        <v>2.12</v>
      </c>
      <c r="AR223" s="141">
        <v>2.12</v>
      </c>
      <c r="AS223" s="141">
        <v>2.12</v>
      </c>
      <c r="AT223" s="141">
        <v>2.12</v>
      </c>
      <c r="AU223" s="141">
        <v>2.12</v>
      </c>
      <c r="AV223" s="141">
        <v>2.12</v>
      </c>
      <c r="AW223" s="141">
        <v>2.12</v>
      </c>
      <c r="AX223" s="126" t="s">
        <v>2588</v>
      </c>
    </row>
    <row r="224" spans="1:50" s="140" customFormat="1" ht="12.75" customHeight="1">
      <c r="A224" s="150" t="str">
        <f>IF(Главная!$P$9="Дол.",AX224,IF(Главная!$P$9="гривен.",AP224,IF(Главная!$P$9="рублей.",AI224,AP224)))</f>
        <v>Обухов</v>
      </c>
      <c r="B224" s="141">
        <v>1.86</v>
      </c>
      <c r="J224" s="141">
        <v>1.86</v>
      </c>
      <c r="K224" s="162">
        <f>IF(Главная!$P$9="Дол.",AY224,IF(Главная!$P$9="гривен.",AQ224,IF(Главная!$P$9="рублей.",AJ224,AQ224)))</f>
        <v>1.74</v>
      </c>
      <c r="L224" s="162">
        <f>IF(Главная!$P$9="Дол.",AZ224,IF(Главная!$P$9="гривен.",AR224,IF(Главная!$P$9="рублей.",AK224,AR224)))</f>
        <v>1.74</v>
      </c>
      <c r="M224" s="162">
        <f>IF(Главная!$P$9="Дол.",BA224,IF(Главная!$P$9="гривен.",AS224,IF(Главная!$P$9="рублей.",AL224,AS224)))</f>
        <v>1.74</v>
      </c>
      <c r="N224" s="162">
        <f>IF(Главная!$P$9="Дол.",BB224,IF(Главная!$P$9="гривен.",AT224,IF(Главная!$P$9="рублей.",AM224,AT224)))</f>
        <v>1.74</v>
      </c>
      <c r="O224" s="162">
        <f>IF(Главная!$P$9="Дол.",BC224,IF(Главная!$P$9="гривен.",AU224,IF(Главная!$P$9="рублей.",AN224,AU224)))</f>
        <v>1.74</v>
      </c>
      <c r="P224" s="141">
        <v>1.86</v>
      </c>
      <c r="Q224" s="141">
        <v>1.86</v>
      </c>
      <c r="AP224" s="144" t="s">
        <v>2296</v>
      </c>
      <c r="AQ224" s="141">
        <v>1.74</v>
      </c>
      <c r="AR224" s="141">
        <v>1.74</v>
      </c>
      <c r="AS224" s="141">
        <v>1.74</v>
      </c>
      <c r="AT224" s="141">
        <v>1.74</v>
      </c>
      <c r="AU224" s="141">
        <v>1.74</v>
      </c>
      <c r="AV224" s="141">
        <v>1.74</v>
      </c>
      <c r="AW224" s="141">
        <v>1.74</v>
      </c>
      <c r="AX224" s="126" t="s">
        <v>2589</v>
      </c>
    </row>
    <row r="225" spans="1:50" s="140" customFormat="1" ht="12.75" customHeight="1">
      <c r="A225" s="150" t="str">
        <f>IF(Главная!$P$9="Дол.",AX225,IF(Главная!$P$9="гривен.",AP225,IF(Главная!$P$9="рублей.",AI225,AP225)))</f>
        <v>Овруч</v>
      </c>
      <c r="B225" s="141">
        <v>2.12</v>
      </c>
      <c r="J225" s="141">
        <v>2.12</v>
      </c>
      <c r="K225" s="162">
        <f>IF(Главная!$P$9="Дол.",AY225,IF(Главная!$P$9="гривен.",AQ225,IF(Главная!$P$9="рублей.",AJ225,AQ225)))</f>
        <v>2.12</v>
      </c>
      <c r="L225" s="162">
        <f>IF(Главная!$P$9="Дол.",AZ225,IF(Главная!$P$9="гривен.",AR225,IF(Главная!$P$9="рублей.",AK225,AR225)))</f>
        <v>2.12</v>
      </c>
      <c r="M225" s="162">
        <f>IF(Главная!$P$9="Дол.",BA225,IF(Главная!$P$9="гривен.",AS225,IF(Главная!$P$9="рублей.",AL225,AS225)))</f>
        <v>2.12</v>
      </c>
      <c r="N225" s="162">
        <f>IF(Главная!$P$9="Дол.",BB225,IF(Главная!$P$9="гривен.",AT225,IF(Главная!$P$9="рублей.",AM225,AT225)))</f>
        <v>2.12</v>
      </c>
      <c r="O225" s="162">
        <f>IF(Главная!$P$9="Дол.",BC225,IF(Главная!$P$9="гривен.",AU225,IF(Главная!$P$9="рублей.",AN225,AU225)))</f>
        <v>2.12</v>
      </c>
      <c r="P225" s="141">
        <v>2.12</v>
      </c>
      <c r="Q225" s="141">
        <v>2.12</v>
      </c>
      <c r="AP225" s="144" t="s">
        <v>2295</v>
      </c>
      <c r="AQ225" s="141">
        <v>2.12</v>
      </c>
      <c r="AR225" s="141">
        <v>2.12</v>
      </c>
      <c r="AS225" s="141">
        <v>2.12</v>
      </c>
      <c r="AT225" s="141">
        <v>2.12</v>
      </c>
      <c r="AU225" s="141">
        <v>2.12</v>
      </c>
      <c r="AV225" s="141">
        <v>2.12</v>
      </c>
      <c r="AW225" s="141">
        <v>2.12</v>
      </c>
      <c r="AX225" s="126" t="s">
        <v>2590</v>
      </c>
    </row>
    <row r="226" spans="1:50" s="140" customFormat="1" ht="12.75" customHeight="1">
      <c r="A226" s="150" t="str">
        <f>IF(Главная!$P$9="Дол.",AX226,IF(Главная!$P$9="гривен.",AP226,IF(Главная!$P$9="рублей.",AI226,AP226)))</f>
        <v>Одесса</v>
      </c>
      <c r="B226" s="141">
        <v>2.12</v>
      </c>
      <c r="J226" s="141">
        <v>2.12</v>
      </c>
      <c r="K226" s="162">
        <f>IF(Главная!$P$9="Дол.",AY226,IF(Главная!$P$9="гривен.",AQ226,IF(Главная!$P$9="рублей.",AJ226,AQ226)))</f>
        <v>1.86</v>
      </c>
      <c r="L226" s="162">
        <f>IF(Главная!$P$9="Дол.",AZ226,IF(Главная!$P$9="гривен.",AR226,IF(Главная!$P$9="рублей.",AK226,AR226)))</f>
        <v>1.86</v>
      </c>
      <c r="M226" s="162">
        <f>IF(Главная!$P$9="Дол.",BA226,IF(Главная!$P$9="гривен.",AS226,IF(Главная!$P$9="рублей.",AL226,AS226)))</f>
        <v>1.86</v>
      </c>
      <c r="N226" s="162">
        <f>IF(Главная!$P$9="Дол.",BB226,IF(Главная!$P$9="гривен.",AT226,IF(Главная!$P$9="рублей.",AM226,AT226)))</f>
        <v>1.86</v>
      </c>
      <c r="O226" s="162">
        <f>IF(Главная!$P$9="Дол.",BC226,IF(Главная!$P$9="гривен.",AU226,IF(Главная!$P$9="рублей.",AN226,AU226)))</f>
        <v>1.86</v>
      </c>
      <c r="P226" s="141">
        <v>2.12</v>
      </c>
      <c r="Q226" s="141">
        <v>2.12</v>
      </c>
      <c r="AP226" s="144" t="s">
        <v>2294</v>
      </c>
      <c r="AQ226" s="141">
        <v>1.86</v>
      </c>
      <c r="AR226" s="141">
        <v>1.86</v>
      </c>
      <c r="AS226" s="141">
        <v>1.86</v>
      </c>
      <c r="AT226" s="141">
        <v>1.86</v>
      </c>
      <c r="AU226" s="141">
        <v>1.86</v>
      </c>
      <c r="AV226" s="141">
        <v>1.86</v>
      </c>
      <c r="AW226" s="141">
        <v>1.86</v>
      </c>
      <c r="AX226" s="126" t="s">
        <v>2583</v>
      </c>
    </row>
    <row r="227" spans="1:50" s="140" customFormat="1" ht="12.75" customHeight="1">
      <c r="A227" s="150" t="str">
        <f>IF(Главная!$P$9="Дол.",AX227,IF(Главная!$P$9="гривен.",AP227,IF(Главная!$P$9="рублей.",AI227,AP227)))</f>
        <v>Одесса 7 км</v>
      </c>
      <c r="B227" s="141">
        <v>12</v>
      </c>
      <c r="J227" s="141">
        <v>12</v>
      </c>
      <c r="K227" s="162">
        <f>IF(Главная!$P$9="Дол.",AY227,IF(Главная!$P$9="гривен.",AQ227,IF(Главная!$P$9="рублей.",AJ227,AQ227)))</f>
        <v>1.86</v>
      </c>
      <c r="L227" s="162">
        <f>IF(Главная!$P$9="Дол.",AZ227,IF(Главная!$P$9="гривен.",AR227,IF(Главная!$P$9="рублей.",AK227,AR227)))</f>
        <v>1.86</v>
      </c>
      <c r="M227" s="162">
        <f>IF(Главная!$P$9="Дол.",BA227,IF(Главная!$P$9="гривен.",AS227,IF(Главная!$P$9="рублей.",AL227,AS227)))</f>
        <v>1.86</v>
      </c>
      <c r="N227" s="162">
        <f>IF(Главная!$P$9="Дол.",BB227,IF(Главная!$P$9="гривен.",AT227,IF(Главная!$P$9="рублей.",AM227,AT227)))</f>
        <v>1.86</v>
      </c>
      <c r="O227" s="162">
        <f>IF(Главная!$P$9="Дол.",BC227,IF(Главная!$P$9="гривен.",AU227,IF(Главная!$P$9="рублей.",AN227,AU227)))</f>
        <v>1.86</v>
      </c>
      <c r="P227" s="141">
        <v>12</v>
      </c>
      <c r="Q227" s="141">
        <v>12</v>
      </c>
      <c r="AP227" s="144" t="s">
        <v>2293</v>
      </c>
      <c r="AQ227" s="141">
        <v>1.86</v>
      </c>
      <c r="AR227" s="141">
        <v>1.86</v>
      </c>
      <c r="AS227" s="141">
        <v>1.86</v>
      </c>
      <c r="AT227" s="141">
        <v>1.86</v>
      </c>
      <c r="AU227" s="141">
        <v>1.86</v>
      </c>
      <c r="AV227" s="141">
        <v>1.86</v>
      </c>
      <c r="AW227" s="141">
        <v>1.86</v>
      </c>
      <c r="AX227" s="126" t="s">
        <v>2584</v>
      </c>
    </row>
    <row r="228" spans="1:50" s="140" customFormat="1" ht="12.75" customHeight="1">
      <c r="A228" s="150" t="str">
        <f>IF(Главная!$P$9="Дол.",AX228,IF(Главная!$P$9="гривен.",AP228,IF(Главная!$P$9="рублей.",AI228,AP228)))</f>
        <v>Олевск</v>
      </c>
      <c r="B228" s="141">
        <v>2.23</v>
      </c>
      <c r="J228" s="141">
        <v>2.23</v>
      </c>
      <c r="K228" s="162">
        <f>IF(Главная!$P$9="Дол.",AY228,IF(Главная!$P$9="гривен.",AQ228,IF(Главная!$P$9="рублей.",AJ228,AQ228)))</f>
        <v>2.12</v>
      </c>
      <c r="L228" s="162">
        <f>IF(Главная!$P$9="Дол.",AZ228,IF(Главная!$P$9="гривен.",AR228,IF(Главная!$P$9="рублей.",AK228,AR228)))</f>
        <v>2.12</v>
      </c>
      <c r="M228" s="162">
        <f>IF(Главная!$P$9="Дол.",BA228,IF(Главная!$P$9="гривен.",AS228,IF(Главная!$P$9="рублей.",AL228,AS228)))</f>
        <v>2.12</v>
      </c>
      <c r="N228" s="162">
        <f>IF(Главная!$P$9="Дол.",BB228,IF(Главная!$P$9="гривен.",AT228,IF(Главная!$P$9="рублей.",AM228,AT228)))</f>
        <v>2.12</v>
      </c>
      <c r="O228" s="162">
        <f>IF(Главная!$P$9="Дол.",BC228,IF(Главная!$P$9="гривен.",AU228,IF(Главная!$P$9="рублей.",AN228,AU228)))</f>
        <v>2.12</v>
      </c>
      <c r="P228" s="141">
        <v>2.23</v>
      </c>
      <c r="Q228" s="141">
        <v>2.23</v>
      </c>
      <c r="AP228" s="144" t="s">
        <v>2292</v>
      </c>
      <c r="AQ228" s="141">
        <v>2.12</v>
      </c>
      <c r="AR228" s="141">
        <v>2.12</v>
      </c>
      <c r="AS228" s="141">
        <v>2.12</v>
      </c>
      <c r="AT228" s="141">
        <v>2.12</v>
      </c>
      <c r="AU228" s="141">
        <v>2.12</v>
      </c>
      <c r="AV228" s="141">
        <v>2.12</v>
      </c>
      <c r="AW228" s="141">
        <v>2.12</v>
      </c>
      <c r="AX228" s="126" t="s">
        <v>2585</v>
      </c>
    </row>
    <row r="229" spans="1:50" s="140" customFormat="1" ht="12.75" customHeight="1">
      <c r="A229" s="150" t="str">
        <f>IF(Главная!$P$9="Дол.",AX229,IF(Главная!$P$9="гривен.",AP229,IF(Главная!$P$9="рублей.",AI229,AP229)))</f>
        <v>Опошня</v>
      </c>
      <c r="B229" s="141">
        <v>1.21</v>
      </c>
      <c r="J229" s="141">
        <v>1.21</v>
      </c>
      <c r="K229" s="162">
        <f>IF(Главная!$P$9="Дол.",AY229,IF(Главная!$P$9="гривен.",AQ229,IF(Главная!$P$9="рублей.",AJ229,AQ229)))</f>
        <v>1.21</v>
      </c>
      <c r="L229" s="162">
        <f>IF(Главная!$P$9="Дол.",AZ229,IF(Главная!$P$9="гривен.",AR229,IF(Главная!$P$9="рублей.",AK229,AR229)))</f>
        <v>1.21</v>
      </c>
      <c r="M229" s="162">
        <f>IF(Главная!$P$9="Дол.",BA229,IF(Главная!$P$9="гривен.",AS229,IF(Главная!$P$9="рублей.",AL229,AS229)))</f>
        <v>1.21</v>
      </c>
      <c r="N229" s="162">
        <f>IF(Главная!$P$9="Дол.",BB229,IF(Главная!$P$9="гривен.",AT229,IF(Главная!$P$9="рублей.",AM229,AT229)))</f>
        <v>1.21</v>
      </c>
      <c r="O229" s="162">
        <f>IF(Главная!$P$9="Дол.",BC229,IF(Главная!$P$9="гривен.",AU229,IF(Главная!$P$9="рублей.",AN229,AU229)))</f>
        <v>1.21</v>
      </c>
      <c r="P229" s="141">
        <v>1.21</v>
      </c>
      <c r="Q229" s="141">
        <v>1.21</v>
      </c>
      <c r="AP229" s="144" t="s">
        <v>2291</v>
      </c>
      <c r="AQ229" s="141">
        <v>1.21</v>
      </c>
      <c r="AR229" s="141">
        <v>1.21</v>
      </c>
      <c r="AS229" s="141">
        <v>1.21</v>
      </c>
      <c r="AT229" s="141">
        <v>1.21</v>
      </c>
      <c r="AU229" s="141">
        <v>1.21</v>
      </c>
      <c r="AV229" s="141">
        <v>1.21</v>
      </c>
      <c r="AW229" s="141">
        <v>1.21</v>
      </c>
      <c r="AX229" s="126" t="s">
        <v>2586</v>
      </c>
    </row>
    <row r="230" spans="1:50" s="140" customFormat="1" ht="12.75" customHeight="1">
      <c r="A230" s="150" t="str">
        <f>IF(Главная!$P$9="Дол.",AX230,IF(Главная!$P$9="гривен.",AP230,IF(Главная!$P$9="рублей.",AI230,AP230)))</f>
        <v>Орджоникидзе</v>
      </c>
      <c r="B230" s="141">
        <v>1.86</v>
      </c>
      <c r="J230" s="141">
        <v>1.86</v>
      </c>
      <c r="K230" s="162">
        <f>IF(Главная!$P$9="Дол.",AY230,IF(Главная!$P$9="гривен.",AQ230,IF(Главная!$P$9="рублей.",AJ230,AQ230)))</f>
        <v>1.86</v>
      </c>
      <c r="L230" s="162">
        <f>IF(Главная!$P$9="Дол.",AZ230,IF(Главная!$P$9="гривен.",AR230,IF(Главная!$P$9="рублей.",AK230,AR230)))</f>
        <v>1.86</v>
      </c>
      <c r="M230" s="162">
        <f>IF(Главная!$P$9="Дол.",BA230,IF(Главная!$P$9="гривен.",AS230,IF(Главная!$P$9="рублей.",AL230,AS230)))</f>
        <v>1.86</v>
      </c>
      <c r="N230" s="162">
        <f>IF(Главная!$P$9="Дол.",BB230,IF(Главная!$P$9="гривен.",AT230,IF(Главная!$P$9="рублей.",AM230,AT230)))</f>
        <v>1.86</v>
      </c>
      <c r="O230" s="162">
        <f>IF(Главная!$P$9="Дол.",BC230,IF(Главная!$P$9="гривен.",AU230,IF(Главная!$P$9="рублей.",AN230,AU230)))</f>
        <v>1.86</v>
      </c>
      <c r="P230" s="141">
        <v>1.86</v>
      </c>
      <c r="Q230" s="141">
        <v>1.86</v>
      </c>
      <c r="AP230" s="144" t="s">
        <v>2290</v>
      </c>
      <c r="AQ230" s="141">
        <v>1.86</v>
      </c>
      <c r="AR230" s="141">
        <v>1.86</v>
      </c>
      <c r="AS230" s="141">
        <v>1.86</v>
      </c>
      <c r="AT230" s="141">
        <v>1.86</v>
      </c>
      <c r="AU230" s="141">
        <v>1.86</v>
      </c>
      <c r="AV230" s="141">
        <v>1.86</v>
      </c>
      <c r="AW230" s="141">
        <v>1.86</v>
      </c>
      <c r="AX230" s="126" t="s">
        <v>2587</v>
      </c>
    </row>
    <row r="231" spans="1:50" s="140" customFormat="1" ht="12.75" customHeight="1">
      <c r="A231" s="150" t="str">
        <f>IF(Главная!$P$9="Дол.",AX231,IF(Главная!$P$9="гривен.",AP231,IF(Главная!$P$9="рублей.",AI231,AP231)))</f>
        <v>Орехов</v>
      </c>
      <c r="B231" s="141">
        <v>2.12</v>
      </c>
      <c r="J231" s="141">
        <v>2.12</v>
      </c>
      <c r="K231" s="162">
        <f>IF(Главная!$P$9="Дол.",AY231,IF(Главная!$P$9="гривен.",AQ231,IF(Главная!$P$9="рублей.",AJ231,AQ231)))</f>
        <v>1.86</v>
      </c>
      <c r="L231" s="162">
        <f>IF(Главная!$P$9="Дол.",AZ231,IF(Главная!$P$9="гривен.",AR231,IF(Главная!$P$9="рублей.",AK231,AR231)))</f>
        <v>1.86</v>
      </c>
      <c r="M231" s="162">
        <f>IF(Главная!$P$9="Дол.",BA231,IF(Главная!$P$9="гривен.",AS231,IF(Главная!$P$9="рублей.",AL231,AS231)))</f>
        <v>1.86</v>
      </c>
      <c r="N231" s="162">
        <f>IF(Главная!$P$9="Дол.",BB231,IF(Главная!$P$9="гривен.",AT231,IF(Главная!$P$9="рублей.",AM231,AT231)))</f>
        <v>1.86</v>
      </c>
      <c r="O231" s="162">
        <f>IF(Главная!$P$9="Дол.",BC231,IF(Главная!$P$9="гривен.",AU231,IF(Главная!$P$9="рублей.",AN231,AU231)))</f>
        <v>1.86</v>
      </c>
      <c r="P231" s="141">
        <v>2.12</v>
      </c>
      <c r="Q231" s="141">
        <v>2.12</v>
      </c>
      <c r="AP231" s="144" t="s">
        <v>2289</v>
      </c>
      <c r="AQ231" s="141">
        <v>1.86</v>
      </c>
      <c r="AR231" s="141">
        <v>1.86</v>
      </c>
      <c r="AS231" s="141">
        <v>1.86</v>
      </c>
      <c r="AT231" s="141">
        <v>1.86</v>
      </c>
      <c r="AU231" s="141">
        <v>1.86</v>
      </c>
      <c r="AV231" s="141">
        <v>1.86</v>
      </c>
      <c r="AW231" s="141">
        <v>1.86</v>
      </c>
      <c r="AX231" s="126" t="s">
        <v>2588</v>
      </c>
    </row>
    <row r="232" spans="1:50" s="140" customFormat="1" ht="12.75" customHeight="1">
      <c r="A232" s="150" t="str">
        <f>IF(Главная!$P$9="Дол.",AX232,IF(Главная!$P$9="гривен.",AP232,IF(Главная!$P$9="рублей.",AI232,AP232)))</f>
        <v>Острог</v>
      </c>
      <c r="B232" s="141">
        <v>1.86</v>
      </c>
      <c r="J232" s="141">
        <v>1.86</v>
      </c>
      <c r="K232" s="162">
        <f>IF(Главная!$P$9="Дол.",AY232,IF(Главная!$P$9="гривен.",AQ232,IF(Главная!$P$9="рублей.",AJ232,AQ232)))</f>
        <v>2.12</v>
      </c>
      <c r="L232" s="162">
        <f>IF(Главная!$P$9="Дол.",AZ232,IF(Главная!$P$9="гривен.",AR232,IF(Главная!$P$9="рублей.",AK232,AR232)))</f>
        <v>2.12</v>
      </c>
      <c r="M232" s="162">
        <f>IF(Главная!$P$9="Дол.",BA232,IF(Главная!$P$9="гривен.",AS232,IF(Главная!$P$9="рублей.",AL232,AS232)))</f>
        <v>2.12</v>
      </c>
      <c r="N232" s="162">
        <f>IF(Главная!$P$9="Дол.",BB232,IF(Главная!$P$9="гривен.",AT232,IF(Главная!$P$9="рублей.",AM232,AT232)))</f>
        <v>2.12</v>
      </c>
      <c r="O232" s="162">
        <f>IF(Главная!$P$9="Дол.",BC232,IF(Главная!$P$9="гривен.",AU232,IF(Главная!$P$9="рублей.",AN232,AU232)))</f>
        <v>2.12</v>
      </c>
      <c r="P232" s="141">
        <v>1.86</v>
      </c>
      <c r="Q232" s="141">
        <v>1.86</v>
      </c>
      <c r="AP232" s="144" t="s">
        <v>2288</v>
      </c>
      <c r="AQ232" s="141">
        <v>2.12</v>
      </c>
      <c r="AR232" s="141">
        <v>2.12</v>
      </c>
      <c r="AS232" s="141">
        <v>2.12</v>
      </c>
      <c r="AT232" s="141">
        <v>2.12</v>
      </c>
      <c r="AU232" s="141">
        <v>2.12</v>
      </c>
      <c r="AV232" s="141">
        <v>2.12</v>
      </c>
      <c r="AW232" s="141">
        <v>2.12</v>
      </c>
      <c r="AX232" s="126" t="s">
        <v>2589</v>
      </c>
    </row>
    <row r="233" spans="1:50" s="140" customFormat="1" ht="12.75" customHeight="1">
      <c r="A233" s="150" t="str">
        <f>IF(Главная!$P$9="Дол.",AX233,IF(Главная!$P$9="гривен.",AP233,IF(Главная!$P$9="рублей.",AI233,AP233)))</f>
        <v>Павлоград</v>
      </c>
      <c r="B233" s="141">
        <v>2.23</v>
      </c>
      <c r="J233" s="141">
        <v>2.23</v>
      </c>
      <c r="K233" s="162">
        <f>IF(Главная!$P$9="Дол.",AY233,IF(Главная!$P$9="гривен.",AQ233,IF(Главная!$P$9="рублей.",AJ233,AQ233)))</f>
        <v>1.47</v>
      </c>
      <c r="L233" s="162">
        <f>IF(Главная!$P$9="Дол.",AZ233,IF(Главная!$P$9="гривен.",AR233,IF(Главная!$P$9="рублей.",AK233,AR233)))</f>
        <v>1.47</v>
      </c>
      <c r="M233" s="162">
        <f>IF(Главная!$P$9="Дол.",BA233,IF(Главная!$P$9="гривен.",AS233,IF(Главная!$P$9="рублей.",AL233,AS233)))</f>
        <v>1.47</v>
      </c>
      <c r="N233" s="162">
        <f>IF(Главная!$P$9="Дол.",BB233,IF(Главная!$P$9="гривен.",AT233,IF(Главная!$P$9="рублей.",AM233,AT233)))</f>
        <v>1.47</v>
      </c>
      <c r="O233" s="162">
        <f>IF(Главная!$P$9="Дол.",BC233,IF(Главная!$P$9="гривен.",AU233,IF(Главная!$P$9="рублей.",AN233,AU233)))</f>
        <v>1.47</v>
      </c>
      <c r="P233" s="141">
        <v>2.23</v>
      </c>
      <c r="Q233" s="141">
        <v>2.23</v>
      </c>
      <c r="AP233" s="144" t="s">
        <v>2287</v>
      </c>
      <c r="AQ233" s="141">
        <v>1.47</v>
      </c>
      <c r="AR233" s="141">
        <v>1.47</v>
      </c>
      <c r="AS233" s="141">
        <v>1.47</v>
      </c>
      <c r="AT233" s="141">
        <v>1.47</v>
      </c>
      <c r="AU233" s="141">
        <v>1.47</v>
      </c>
      <c r="AV233" s="141">
        <v>1.47</v>
      </c>
      <c r="AW233" s="141">
        <v>1.47</v>
      </c>
      <c r="AX233" s="126" t="s">
        <v>2590</v>
      </c>
    </row>
    <row r="234" spans="1:50" s="140" customFormat="1" ht="12.75" customHeight="1">
      <c r="A234" s="150" t="str">
        <f>IF(Главная!$P$9="Дол.",AX234,IF(Главная!$P$9="гривен.",AP234,IF(Главная!$P$9="рублей.",AI234,AP234)))</f>
        <v>Первомайск (Луг)</v>
      </c>
      <c r="B234" s="141">
        <v>1.47</v>
      </c>
      <c r="J234" s="141">
        <v>1.47</v>
      </c>
      <c r="K234" s="162">
        <f>IF(Главная!$P$9="Дол.",AY234,IF(Главная!$P$9="гривен.",AQ234,IF(Главная!$P$9="рублей.",AJ234,AQ234)))</f>
        <v>2.95</v>
      </c>
      <c r="L234" s="162">
        <f>IF(Главная!$P$9="Дол.",AZ234,IF(Главная!$P$9="гривен.",AR234,IF(Главная!$P$9="рублей.",AK234,AR234)))</f>
        <v>2.95</v>
      </c>
      <c r="M234" s="162">
        <f>IF(Главная!$P$9="Дол.",BA234,IF(Главная!$P$9="гривен.",AS234,IF(Главная!$P$9="рублей.",AL234,AS234)))</f>
        <v>2.95</v>
      </c>
      <c r="N234" s="162">
        <f>IF(Главная!$P$9="Дол.",BB234,IF(Главная!$P$9="гривен.",AT234,IF(Главная!$P$9="рублей.",AM234,AT234)))</f>
        <v>2.95</v>
      </c>
      <c r="O234" s="162">
        <f>IF(Главная!$P$9="Дол.",BC234,IF(Главная!$P$9="гривен.",AU234,IF(Главная!$P$9="рублей.",AN234,AU234)))</f>
        <v>2.95</v>
      </c>
      <c r="P234" s="141">
        <v>1.47</v>
      </c>
      <c r="Q234" s="141">
        <v>1.47</v>
      </c>
      <c r="AP234" s="144" t="s">
        <v>2286</v>
      </c>
      <c r="AQ234" s="141">
        <v>2.95</v>
      </c>
      <c r="AR234" s="141">
        <v>2.95</v>
      </c>
      <c r="AS234" s="141">
        <v>2.95</v>
      </c>
      <c r="AT234" s="141">
        <v>2.95</v>
      </c>
      <c r="AU234" s="141">
        <v>2.95</v>
      </c>
      <c r="AV234" s="141">
        <v>2.95</v>
      </c>
      <c r="AW234" s="141">
        <v>2.95</v>
      </c>
      <c r="AX234" s="126" t="s">
        <v>2583</v>
      </c>
    </row>
    <row r="235" spans="1:50" s="140" customFormat="1" ht="12.75" customHeight="1">
      <c r="A235" s="150" t="str">
        <f>IF(Главная!$P$9="Дол.",AX235,IF(Главная!$P$9="гривен.",AP235,IF(Главная!$P$9="рублей.",AI235,AP235)))</f>
        <v>Первомайск (Ник)</v>
      </c>
      <c r="B235" s="141">
        <v>1.21</v>
      </c>
      <c r="J235" s="141">
        <v>1.21</v>
      </c>
      <c r="K235" s="162">
        <f>IF(Главная!$P$9="Дол.",AY235,IF(Главная!$P$9="гривен.",AQ235,IF(Главная!$P$9="рублей.",AJ235,AQ235)))</f>
        <v>1.74</v>
      </c>
      <c r="L235" s="162">
        <f>IF(Главная!$P$9="Дол.",AZ235,IF(Главная!$P$9="гривен.",AR235,IF(Главная!$P$9="рублей.",AK235,AR235)))</f>
        <v>1.74</v>
      </c>
      <c r="M235" s="162">
        <f>IF(Главная!$P$9="Дол.",BA235,IF(Главная!$P$9="гривен.",AS235,IF(Главная!$P$9="рублей.",AL235,AS235)))</f>
        <v>1.74</v>
      </c>
      <c r="N235" s="162">
        <f>IF(Главная!$P$9="Дол.",BB235,IF(Главная!$P$9="гривен.",AT235,IF(Главная!$P$9="рублей.",AM235,AT235)))</f>
        <v>1.74</v>
      </c>
      <c r="O235" s="162">
        <f>IF(Главная!$P$9="Дол.",BC235,IF(Главная!$P$9="гривен.",AU235,IF(Главная!$P$9="рублей.",AN235,AU235)))</f>
        <v>1.74</v>
      </c>
      <c r="P235" s="141">
        <v>1.21</v>
      </c>
      <c r="Q235" s="141">
        <v>1.21</v>
      </c>
      <c r="AP235" s="144" t="s">
        <v>2285</v>
      </c>
      <c r="AQ235" s="141">
        <v>1.74</v>
      </c>
      <c r="AR235" s="141">
        <v>1.74</v>
      </c>
      <c r="AS235" s="141">
        <v>1.74</v>
      </c>
      <c r="AT235" s="141">
        <v>1.74</v>
      </c>
      <c r="AU235" s="141">
        <v>1.74</v>
      </c>
      <c r="AV235" s="141">
        <v>1.74</v>
      </c>
      <c r="AW235" s="141">
        <v>1.74</v>
      </c>
      <c r="AX235" s="126" t="s">
        <v>2584</v>
      </c>
    </row>
    <row r="236" spans="1:50" s="140" customFormat="1" ht="12.75" customHeight="1">
      <c r="A236" s="150" t="str">
        <f>IF(Главная!$P$9="Дол.",AX236,IF(Главная!$P$9="гривен.",AP236,IF(Главная!$P$9="рублей.",AI236,AP236)))</f>
        <v>Первомайский (Хар)</v>
      </c>
      <c r="B236" s="141">
        <v>1.86</v>
      </c>
      <c r="J236" s="141">
        <v>1.86</v>
      </c>
      <c r="K236" s="162">
        <f>IF(Главная!$P$9="Дол.",AY236,IF(Главная!$P$9="гривен.",AQ236,IF(Главная!$P$9="рублей.",AJ236,AQ236)))</f>
        <v>0.7</v>
      </c>
      <c r="L236" s="162">
        <f>IF(Главная!$P$9="Дол.",AZ236,IF(Главная!$P$9="гривен.",AR236,IF(Главная!$P$9="рублей.",AK236,AR236)))</f>
        <v>0.7</v>
      </c>
      <c r="M236" s="162">
        <f>IF(Главная!$P$9="Дол.",BA236,IF(Главная!$P$9="гривен.",AS236,IF(Главная!$P$9="рублей.",AL236,AS236)))</f>
        <v>0.7</v>
      </c>
      <c r="N236" s="162">
        <f>IF(Главная!$P$9="Дол.",BB236,IF(Главная!$P$9="гривен.",AT236,IF(Главная!$P$9="рублей.",AM236,AT236)))</f>
        <v>0.7</v>
      </c>
      <c r="O236" s="162">
        <f>IF(Главная!$P$9="Дол.",BC236,IF(Главная!$P$9="гривен.",AU236,IF(Главная!$P$9="рублей.",AN236,AU236)))</f>
        <v>0.7</v>
      </c>
      <c r="P236" s="141">
        <v>1.86</v>
      </c>
      <c r="Q236" s="141">
        <v>1.86</v>
      </c>
      <c r="AP236" s="144" t="s">
        <v>2284</v>
      </c>
      <c r="AQ236" s="141">
        <v>0.7</v>
      </c>
      <c r="AR236" s="141">
        <v>0.7</v>
      </c>
      <c r="AS236" s="141">
        <v>0.7</v>
      </c>
      <c r="AT236" s="141">
        <v>0.7</v>
      </c>
      <c r="AU236" s="141">
        <v>0.7</v>
      </c>
      <c r="AV236" s="141">
        <v>0.7</v>
      </c>
      <c r="AW236" s="141">
        <v>0.7</v>
      </c>
      <c r="AX236" s="126" t="s">
        <v>2585</v>
      </c>
    </row>
    <row r="237" spans="1:50" s="140" customFormat="1" ht="12.75" customHeight="1">
      <c r="A237" s="150" t="str">
        <f>IF(Главная!$P$9="Дол.",AX237,IF(Главная!$P$9="гривен.",AP237,IF(Главная!$P$9="рублей.",AI237,AP237)))</f>
        <v>Переяслав-Хмельницкий</v>
      </c>
      <c r="B237" s="141">
        <v>1.21</v>
      </c>
      <c r="J237" s="141">
        <v>1.21</v>
      </c>
      <c r="K237" s="162">
        <f>IF(Главная!$P$9="Дол.",AY237,IF(Главная!$P$9="гривен.",AQ237,IF(Главная!$P$9="рублей.",AJ237,AQ237)))</f>
        <v>1.74</v>
      </c>
      <c r="L237" s="162">
        <f>IF(Главная!$P$9="Дол.",AZ237,IF(Главная!$P$9="гривен.",AR237,IF(Главная!$P$9="рублей.",AK237,AR237)))</f>
        <v>1.74</v>
      </c>
      <c r="M237" s="162">
        <f>IF(Главная!$P$9="Дол.",BA237,IF(Главная!$P$9="гривен.",AS237,IF(Главная!$P$9="рублей.",AL237,AS237)))</f>
        <v>1.74</v>
      </c>
      <c r="N237" s="162">
        <f>IF(Главная!$P$9="Дол.",BB237,IF(Главная!$P$9="гривен.",AT237,IF(Главная!$P$9="рублей.",AM237,AT237)))</f>
        <v>1.74</v>
      </c>
      <c r="O237" s="162">
        <f>IF(Главная!$P$9="Дол.",BC237,IF(Главная!$P$9="гривен.",AU237,IF(Главная!$P$9="рублей.",AN237,AU237)))</f>
        <v>1.74</v>
      </c>
      <c r="P237" s="141">
        <v>1.21</v>
      </c>
      <c r="Q237" s="141">
        <v>1.21</v>
      </c>
      <c r="AP237" s="144" t="s">
        <v>2283</v>
      </c>
      <c r="AQ237" s="141">
        <v>1.74</v>
      </c>
      <c r="AR237" s="141">
        <v>1.74</v>
      </c>
      <c r="AS237" s="141">
        <v>1.74</v>
      </c>
      <c r="AT237" s="141">
        <v>1.74</v>
      </c>
      <c r="AU237" s="141">
        <v>1.74</v>
      </c>
      <c r="AV237" s="141">
        <v>1.74</v>
      </c>
      <c r="AW237" s="141">
        <v>1.74</v>
      </c>
      <c r="AX237" s="126" t="s">
        <v>2586</v>
      </c>
    </row>
    <row r="238" spans="1:50" s="140" customFormat="1" ht="12.75" customHeight="1">
      <c r="A238" s="150" t="str">
        <f>IF(Главная!$P$9="Дол.",AX238,IF(Главная!$P$9="гривен.",AP238,IF(Главная!$P$9="рублей.",AI238,AP238)))</f>
        <v>Першотравенск</v>
      </c>
      <c r="B238" s="141">
        <v>1.21</v>
      </c>
      <c r="J238" s="141">
        <v>1.21</v>
      </c>
      <c r="K238" s="162">
        <f>IF(Главная!$P$9="Дол.",AY238,IF(Главная!$P$9="гривен.",AQ238,IF(Главная!$P$9="рублей.",AJ238,AQ238)))</f>
        <v>2.12</v>
      </c>
      <c r="L238" s="162">
        <f>IF(Главная!$P$9="Дол.",AZ238,IF(Главная!$P$9="гривен.",AR238,IF(Главная!$P$9="рублей.",AK238,AR238)))</f>
        <v>2.12</v>
      </c>
      <c r="M238" s="162">
        <f>IF(Главная!$P$9="Дол.",BA238,IF(Главная!$P$9="гривен.",AS238,IF(Главная!$P$9="рублей.",AL238,AS238)))</f>
        <v>2.12</v>
      </c>
      <c r="N238" s="162">
        <f>IF(Главная!$P$9="Дол.",BB238,IF(Главная!$P$9="гривен.",AT238,IF(Главная!$P$9="рублей.",AM238,AT238)))</f>
        <v>2.12</v>
      </c>
      <c r="O238" s="162">
        <f>IF(Главная!$P$9="Дол.",BC238,IF(Главная!$P$9="гривен.",AU238,IF(Главная!$P$9="рублей.",AN238,AU238)))</f>
        <v>2.12</v>
      </c>
      <c r="P238" s="141">
        <v>1.21</v>
      </c>
      <c r="Q238" s="141">
        <v>1.21</v>
      </c>
      <c r="AP238" s="144" t="s">
        <v>2282</v>
      </c>
      <c r="AQ238" s="141">
        <v>2.12</v>
      </c>
      <c r="AR238" s="141">
        <v>2.12</v>
      </c>
      <c r="AS238" s="141">
        <v>2.12</v>
      </c>
      <c r="AT238" s="141">
        <v>2.12</v>
      </c>
      <c r="AU238" s="141">
        <v>2.12</v>
      </c>
      <c r="AV238" s="141">
        <v>2.12</v>
      </c>
      <c r="AW238" s="141">
        <v>2.12</v>
      </c>
      <c r="AX238" s="126" t="s">
        <v>2587</v>
      </c>
    </row>
    <row r="239" spans="1:50" s="140" customFormat="1" ht="12.75" customHeight="1">
      <c r="A239" s="150" t="str">
        <f>IF(Главная!$P$9="Дол.",AX239,IF(Главная!$P$9="гривен.",AP239,IF(Главная!$P$9="рублей.",AI239,AP239)))</f>
        <v>Песочин</v>
      </c>
      <c r="B239" s="141">
        <v>1.74</v>
      </c>
      <c r="J239" s="141">
        <v>1.74</v>
      </c>
      <c r="K239" s="162">
        <f>IF(Главная!$P$9="Дол.",AY239,IF(Главная!$P$9="гривен.",AQ239,IF(Главная!$P$9="рублей.",AJ239,AQ239)))</f>
        <v>1.21</v>
      </c>
      <c r="L239" s="162">
        <f>IF(Главная!$P$9="Дол.",AZ239,IF(Главная!$P$9="гривен.",AR239,IF(Главная!$P$9="рублей.",AK239,AR239)))</f>
        <v>1.21</v>
      </c>
      <c r="M239" s="162">
        <f>IF(Главная!$P$9="Дол.",BA239,IF(Главная!$P$9="гривен.",AS239,IF(Главная!$P$9="рублей.",AL239,AS239)))</f>
        <v>1.21</v>
      </c>
      <c r="N239" s="162">
        <f>IF(Главная!$P$9="Дол.",BB239,IF(Главная!$P$9="гривен.",AT239,IF(Главная!$P$9="рублей.",AM239,AT239)))</f>
        <v>1.21</v>
      </c>
      <c r="O239" s="162">
        <f>IF(Главная!$P$9="Дол.",BC239,IF(Главная!$P$9="гривен.",AU239,IF(Главная!$P$9="рублей.",AN239,AU239)))</f>
        <v>1.21</v>
      </c>
      <c r="P239" s="141">
        <v>1.74</v>
      </c>
      <c r="Q239" s="141">
        <v>1.74</v>
      </c>
      <c r="AP239" s="144" t="s">
        <v>2281</v>
      </c>
      <c r="AQ239" s="141">
        <v>1.21</v>
      </c>
      <c r="AR239" s="141">
        <v>1.21</v>
      </c>
      <c r="AS239" s="141">
        <v>1.21</v>
      </c>
      <c r="AT239" s="141">
        <v>1.21</v>
      </c>
      <c r="AU239" s="141">
        <v>1.21</v>
      </c>
      <c r="AV239" s="141">
        <v>1.21</v>
      </c>
      <c r="AW239" s="141">
        <v>1.21</v>
      </c>
      <c r="AX239" s="126" t="s">
        <v>2588</v>
      </c>
    </row>
    <row r="240" spans="1:50" s="140" customFormat="1" ht="12.75" customHeight="1">
      <c r="A240" s="150" t="str">
        <f>IF(Главная!$P$9="Дол.",AX240,IF(Главная!$P$9="гривен.",AP240,IF(Главная!$P$9="рублей.",AI240,AP240)))</f>
        <v>Петрово</v>
      </c>
      <c r="B240" s="141">
        <v>1.21</v>
      </c>
      <c r="J240" s="141">
        <v>1.21</v>
      </c>
      <c r="K240" s="162">
        <f>IF(Главная!$P$9="Дол.",AY240,IF(Главная!$P$9="гривен.",AQ240,IF(Главная!$P$9="рублей.",AJ240,AQ240)))</f>
        <v>1.86</v>
      </c>
      <c r="L240" s="162">
        <f>IF(Главная!$P$9="Дол.",AZ240,IF(Главная!$P$9="гривен.",AR240,IF(Главная!$P$9="рублей.",AK240,AR240)))</f>
        <v>1.86</v>
      </c>
      <c r="M240" s="162">
        <f>IF(Главная!$P$9="Дол.",BA240,IF(Главная!$P$9="гривен.",AS240,IF(Главная!$P$9="рублей.",AL240,AS240)))</f>
        <v>1.86</v>
      </c>
      <c r="N240" s="162">
        <f>IF(Главная!$P$9="Дол.",BB240,IF(Главная!$P$9="гривен.",AT240,IF(Главная!$P$9="рублей.",AM240,AT240)))</f>
        <v>1.86</v>
      </c>
      <c r="O240" s="162">
        <f>IF(Главная!$P$9="Дол.",BC240,IF(Главная!$P$9="гривен.",AU240,IF(Главная!$P$9="рублей.",AN240,AU240)))</f>
        <v>1.86</v>
      </c>
      <c r="P240" s="141">
        <v>1.21</v>
      </c>
      <c r="Q240" s="141">
        <v>1.21</v>
      </c>
      <c r="AP240" s="144" t="s">
        <v>2280</v>
      </c>
      <c r="AQ240" s="141">
        <v>1.86</v>
      </c>
      <c r="AR240" s="141">
        <v>1.86</v>
      </c>
      <c r="AS240" s="141">
        <v>1.86</v>
      </c>
      <c r="AT240" s="141">
        <v>1.86</v>
      </c>
      <c r="AU240" s="141">
        <v>1.86</v>
      </c>
      <c r="AV240" s="141">
        <v>1.86</v>
      </c>
      <c r="AW240" s="141">
        <v>1.86</v>
      </c>
      <c r="AX240" s="126" t="s">
        <v>2589</v>
      </c>
    </row>
    <row r="241" spans="1:50" s="140" customFormat="1" ht="12.75" customHeight="1">
      <c r="A241" s="150" t="str">
        <f>IF(Главная!$P$9="Дол.",AX241,IF(Главная!$P$9="гривен.",AP241,IF(Главная!$P$9="рублей.",AI241,AP241)))</f>
        <v>Пирятин</v>
      </c>
      <c r="B241" s="141">
        <v>2.12</v>
      </c>
      <c r="J241" s="141">
        <v>2.12</v>
      </c>
      <c r="K241" s="162">
        <f>IF(Главная!$P$9="Дол.",AY241,IF(Главная!$P$9="гривен.",AQ241,IF(Главная!$P$9="рублей.",AJ241,AQ241)))</f>
        <v>1.47</v>
      </c>
      <c r="L241" s="162">
        <f>IF(Главная!$P$9="Дол.",AZ241,IF(Главная!$P$9="гривен.",AR241,IF(Главная!$P$9="рублей.",AK241,AR241)))</f>
        <v>1.47</v>
      </c>
      <c r="M241" s="162">
        <f>IF(Главная!$P$9="Дол.",BA241,IF(Главная!$P$9="гривен.",AS241,IF(Главная!$P$9="рублей.",AL241,AS241)))</f>
        <v>1.47</v>
      </c>
      <c r="N241" s="162">
        <f>IF(Главная!$P$9="Дол.",BB241,IF(Главная!$P$9="гривен.",AT241,IF(Главная!$P$9="рублей.",AM241,AT241)))</f>
        <v>1.47</v>
      </c>
      <c r="O241" s="162">
        <f>IF(Главная!$P$9="Дол.",BC241,IF(Главная!$P$9="гривен.",AU241,IF(Главная!$P$9="рублей.",AN241,AU241)))</f>
        <v>1.47</v>
      </c>
      <c r="P241" s="141">
        <v>2.12</v>
      </c>
      <c r="Q241" s="141">
        <v>2.12</v>
      </c>
      <c r="AP241" s="144" t="s">
        <v>2279</v>
      </c>
      <c r="AQ241" s="141">
        <v>1.47</v>
      </c>
      <c r="AR241" s="141">
        <v>1.47</v>
      </c>
      <c r="AS241" s="141">
        <v>1.47</v>
      </c>
      <c r="AT241" s="141">
        <v>1.47</v>
      </c>
      <c r="AU241" s="141">
        <v>1.47</v>
      </c>
      <c r="AV241" s="141">
        <v>1.47</v>
      </c>
      <c r="AW241" s="141">
        <v>1.47</v>
      </c>
      <c r="AX241" s="126" t="s">
        <v>2590</v>
      </c>
    </row>
    <row r="242" spans="1:50" s="140" customFormat="1" ht="12.75" customHeight="1">
      <c r="A242" s="150" t="str">
        <f>IF(Главная!$P$9="Дол.",AX242,IF(Главная!$P$9="гривен.",AP242,IF(Главная!$P$9="рублей.",AI242,AP242)))</f>
        <v>Побугское</v>
      </c>
      <c r="B242" s="141">
        <v>2.12</v>
      </c>
      <c r="J242" s="141">
        <v>2.12</v>
      </c>
      <c r="K242" s="162">
        <f>IF(Главная!$P$9="Дол.",AY242,IF(Главная!$P$9="гривен.",AQ242,IF(Главная!$P$9="рублей.",AJ242,AQ242)))</f>
        <v>2.12</v>
      </c>
      <c r="L242" s="162">
        <f>IF(Главная!$P$9="Дол.",AZ242,IF(Главная!$P$9="гривен.",AR242,IF(Главная!$P$9="рублей.",AK242,AR242)))</f>
        <v>2.12</v>
      </c>
      <c r="M242" s="162">
        <f>IF(Главная!$P$9="Дол.",BA242,IF(Главная!$P$9="гривен.",AS242,IF(Главная!$P$9="рублей.",AL242,AS242)))</f>
        <v>2.12</v>
      </c>
      <c r="N242" s="162">
        <f>IF(Главная!$P$9="Дол.",BB242,IF(Главная!$P$9="гривен.",AT242,IF(Главная!$P$9="рублей.",AM242,AT242)))</f>
        <v>2.12</v>
      </c>
      <c r="O242" s="162">
        <f>IF(Главная!$P$9="Дол.",BC242,IF(Главная!$P$9="гривен.",AU242,IF(Главная!$P$9="рублей.",AN242,AU242)))</f>
        <v>2.12</v>
      </c>
      <c r="P242" s="141">
        <v>2.12</v>
      </c>
      <c r="Q242" s="141">
        <v>2.12</v>
      </c>
      <c r="AP242" s="144" t="s">
        <v>2278</v>
      </c>
      <c r="AQ242" s="141">
        <v>2.12</v>
      </c>
      <c r="AR242" s="141">
        <v>2.12</v>
      </c>
      <c r="AS242" s="141">
        <v>2.12</v>
      </c>
      <c r="AT242" s="141">
        <v>2.12</v>
      </c>
      <c r="AU242" s="141">
        <v>2.12</v>
      </c>
      <c r="AV242" s="141">
        <v>2.12</v>
      </c>
      <c r="AW242" s="141">
        <v>2.12</v>
      </c>
      <c r="AX242" s="126" t="s">
        <v>2583</v>
      </c>
    </row>
    <row r="243" spans="1:50" s="140" customFormat="1" ht="12.75" customHeight="1">
      <c r="A243" s="150" t="str">
        <f>IF(Главная!$P$9="Дол.",AX243,IF(Главная!$P$9="гривен.",AP243,IF(Главная!$P$9="рублей.",AI243,AP243)))</f>
        <v>Пологи</v>
      </c>
      <c r="B243" s="141">
        <v>2.12</v>
      </c>
      <c r="J243" s="141">
        <v>2.12</v>
      </c>
      <c r="K243" s="162">
        <f>IF(Главная!$P$9="Дол.",AY243,IF(Главная!$P$9="гривен.",AQ243,IF(Главная!$P$9="рублей.",AJ243,AQ243)))</f>
        <v>1.86</v>
      </c>
      <c r="L243" s="162">
        <f>IF(Главная!$P$9="Дол.",AZ243,IF(Главная!$P$9="гривен.",AR243,IF(Главная!$P$9="рублей.",AK243,AR243)))</f>
        <v>1.86</v>
      </c>
      <c r="M243" s="162">
        <f>IF(Главная!$P$9="Дол.",BA243,IF(Главная!$P$9="гривен.",AS243,IF(Главная!$P$9="рублей.",AL243,AS243)))</f>
        <v>1.86</v>
      </c>
      <c r="N243" s="162">
        <f>IF(Главная!$P$9="Дол.",BB243,IF(Главная!$P$9="гривен.",AT243,IF(Главная!$P$9="рублей.",AM243,AT243)))</f>
        <v>1.86</v>
      </c>
      <c r="O243" s="162">
        <f>IF(Главная!$P$9="Дол.",BC243,IF(Главная!$P$9="гривен.",AU243,IF(Главная!$P$9="рублей.",AN243,AU243)))</f>
        <v>1.86</v>
      </c>
      <c r="P243" s="141">
        <v>2.12</v>
      </c>
      <c r="Q243" s="141">
        <v>2.12</v>
      </c>
      <c r="AP243" s="144" t="s">
        <v>2277</v>
      </c>
      <c r="AQ243" s="141">
        <v>1.86</v>
      </c>
      <c r="AR243" s="141">
        <v>1.86</v>
      </c>
      <c r="AS243" s="141">
        <v>1.86</v>
      </c>
      <c r="AT243" s="141">
        <v>1.86</v>
      </c>
      <c r="AU243" s="141">
        <v>1.86</v>
      </c>
      <c r="AV243" s="141">
        <v>1.86</v>
      </c>
      <c r="AW243" s="141">
        <v>1.86</v>
      </c>
      <c r="AX243" s="126" t="s">
        <v>2584</v>
      </c>
    </row>
    <row r="244" spans="1:50" s="140" customFormat="1" ht="12.75" customHeight="1">
      <c r="A244" s="150" t="str">
        <f>IF(Главная!$P$9="Дол.",AX244,IF(Главная!$P$9="гривен.",AP244,IF(Главная!$P$9="рублей.",AI244,AP244)))</f>
        <v>Полонное</v>
      </c>
      <c r="B244" s="141">
        <v>1.74</v>
      </c>
      <c r="J244" s="141">
        <v>1.74</v>
      </c>
      <c r="K244" s="162">
        <f>IF(Главная!$P$9="Дол.",AY244,IF(Главная!$P$9="гривен.",AQ244,IF(Главная!$P$9="рублей.",AJ244,AQ244)))</f>
        <v>2.12</v>
      </c>
      <c r="L244" s="162">
        <f>IF(Главная!$P$9="Дол.",AZ244,IF(Главная!$P$9="гривен.",AR244,IF(Главная!$P$9="рублей.",AK244,AR244)))</f>
        <v>2.12</v>
      </c>
      <c r="M244" s="162">
        <f>IF(Главная!$P$9="Дол.",BA244,IF(Главная!$P$9="гривен.",AS244,IF(Главная!$P$9="рублей.",AL244,AS244)))</f>
        <v>2.12</v>
      </c>
      <c r="N244" s="162">
        <f>IF(Главная!$P$9="Дол.",BB244,IF(Главная!$P$9="гривен.",AT244,IF(Главная!$P$9="рублей.",AM244,AT244)))</f>
        <v>2.12</v>
      </c>
      <c r="O244" s="162">
        <f>IF(Главная!$P$9="Дол.",BC244,IF(Главная!$P$9="гривен.",AU244,IF(Главная!$P$9="рублей.",AN244,AU244)))</f>
        <v>2.12</v>
      </c>
      <c r="P244" s="141">
        <v>1.74</v>
      </c>
      <c r="Q244" s="141">
        <v>1.74</v>
      </c>
      <c r="AP244" s="144" t="s">
        <v>2276</v>
      </c>
      <c r="AQ244" s="141">
        <v>2.12</v>
      </c>
      <c r="AR244" s="141">
        <v>2.12</v>
      </c>
      <c r="AS244" s="141">
        <v>2.12</v>
      </c>
      <c r="AT244" s="141">
        <v>2.12</v>
      </c>
      <c r="AU244" s="141">
        <v>2.12</v>
      </c>
      <c r="AV244" s="141">
        <v>2.12</v>
      </c>
      <c r="AW244" s="141">
        <v>2.12</v>
      </c>
      <c r="AX244" s="126" t="s">
        <v>2585</v>
      </c>
    </row>
    <row r="245" spans="1:50" s="140" customFormat="1" ht="12.75" customHeight="1">
      <c r="A245" s="150" t="str">
        <f>IF(Главная!$P$9="Дол.",AX245,IF(Главная!$P$9="гривен.",AP245,IF(Главная!$P$9="рублей.",AI245,AP245)))</f>
        <v>Полтава</v>
      </c>
      <c r="B245" s="141">
        <v>2.12</v>
      </c>
      <c r="J245" s="141">
        <v>2.12</v>
      </c>
      <c r="K245" s="162">
        <f>IF(Главная!$P$9="Дол.",AY245,IF(Главная!$P$9="гривен.",AQ245,IF(Главная!$P$9="рублей.",AJ245,AQ245)))</f>
        <v>0</v>
      </c>
      <c r="L245" s="162">
        <f>IF(Главная!$P$9="Дол.",AZ245,IF(Главная!$P$9="гривен.",AR245,IF(Главная!$P$9="рублей.",AK245,AR245)))</f>
        <v>0</v>
      </c>
      <c r="M245" s="162">
        <f>IF(Главная!$P$9="Дол.",BA245,IF(Главная!$P$9="гривен.",AS245,IF(Главная!$P$9="рублей.",AL245,AS245)))</f>
        <v>0</v>
      </c>
      <c r="N245" s="162">
        <f>IF(Главная!$P$9="Дол.",BB245,IF(Главная!$P$9="гривен.",AT245,IF(Главная!$P$9="рублей.",AM245,AT245)))</f>
        <v>0</v>
      </c>
      <c r="O245" s="162">
        <f>IF(Главная!$P$9="Дол.",BC245,IF(Главная!$P$9="гривен.",AU245,IF(Главная!$P$9="рублей.",AN245,AU245)))</f>
        <v>0</v>
      </c>
      <c r="P245" s="141">
        <v>2.12</v>
      </c>
      <c r="Q245" s="141">
        <v>2.12</v>
      </c>
      <c r="AP245" s="144" t="s">
        <v>2275</v>
      </c>
      <c r="AQ245" s="141"/>
      <c r="AR245" s="141"/>
      <c r="AS245" s="141"/>
      <c r="AT245" s="141"/>
      <c r="AU245" s="141"/>
      <c r="AV245" s="141"/>
      <c r="AW245" s="141"/>
      <c r="AX245" s="126" t="s">
        <v>2586</v>
      </c>
    </row>
    <row r="246" spans="1:50" s="140" customFormat="1" ht="12.75" customHeight="1">
      <c r="A246" s="150" t="str">
        <f>IF(Главная!$P$9="Дол.",AX246,IF(Главная!$P$9="гривен.",AP246,IF(Главная!$P$9="рублей.",AI246,AP246)))</f>
        <v>Попасная</v>
      </c>
      <c r="B246" s="141">
        <v>2.23</v>
      </c>
      <c r="J246" s="141">
        <v>2.23</v>
      </c>
      <c r="K246" s="162">
        <f>IF(Главная!$P$9="Дол.",AY246,IF(Главная!$P$9="гривен.",AQ246,IF(Главная!$P$9="рублей.",AJ246,AQ246)))</f>
        <v>2.95</v>
      </c>
      <c r="L246" s="162">
        <f>IF(Главная!$P$9="Дол.",AZ246,IF(Главная!$P$9="гривен.",AR246,IF(Главная!$P$9="рублей.",AK246,AR246)))</f>
        <v>2.95</v>
      </c>
      <c r="M246" s="162">
        <f>IF(Главная!$P$9="Дол.",BA246,IF(Главная!$P$9="гривен.",AS246,IF(Главная!$P$9="рублей.",AL246,AS246)))</f>
        <v>2.95</v>
      </c>
      <c r="N246" s="162">
        <f>IF(Главная!$P$9="Дол.",BB246,IF(Главная!$P$9="гривен.",AT246,IF(Главная!$P$9="рублей.",AM246,AT246)))</f>
        <v>2.95</v>
      </c>
      <c r="O246" s="162">
        <f>IF(Главная!$P$9="Дол.",BC246,IF(Главная!$P$9="гривен.",AU246,IF(Главная!$P$9="рублей.",AN246,AU246)))</f>
        <v>2.95</v>
      </c>
      <c r="P246" s="141">
        <v>2.23</v>
      </c>
      <c r="Q246" s="141">
        <v>2.23</v>
      </c>
      <c r="AP246" s="144" t="s">
        <v>2274</v>
      </c>
      <c r="AQ246" s="141">
        <v>2.95</v>
      </c>
      <c r="AR246" s="141">
        <v>2.95</v>
      </c>
      <c r="AS246" s="141">
        <v>2.95</v>
      </c>
      <c r="AT246" s="141">
        <v>2.95</v>
      </c>
      <c r="AU246" s="141">
        <v>2.95</v>
      </c>
      <c r="AV246" s="141">
        <v>2.95</v>
      </c>
      <c r="AW246" s="141">
        <v>2.95</v>
      </c>
      <c r="AX246" s="126" t="s">
        <v>2587</v>
      </c>
    </row>
    <row r="247" spans="1:50" s="140" customFormat="1" ht="12.75" customHeight="1">
      <c r="A247" s="150" t="str">
        <f>IF(Главная!$P$9="Дол.",AX247,IF(Главная!$P$9="гривен.",AP247,IF(Главная!$P$9="рублей.",AI247,AP247)))</f>
        <v>Прилуки</v>
      </c>
      <c r="B247" s="141">
        <v>2.59</v>
      </c>
      <c r="J247" s="141">
        <v>2.59</v>
      </c>
      <c r="K247" s="162">
        <f>IF(Главная!$P$9="Дол.",AY247,IF(Главная!$P$9="гривен.",AQ247,IF(Главная!$P$9="рублей.",AJ247,AQ247)))</f>
        <v>1.74</v>
      </c>
      <c r="L247" s="162">
        <f>IF(Главная!$P$9="Дол.",AZ247,IF(Главная!$P$9="гривен.",AR247,IF(Главная!$P$9="рублей.",AK247,AR247)))</f>
        <v>1.74</v>
      </c>
      <c r="M247" s="162">
        <f>IF(Главная!$P$9="Дол.",BA247,IF(Главная!$P$9="гривен.",AS247,IF(Главная!$P$9="рублей.",AL247,AS247)))</f>
        <v>1.74</v>
      </c>
      <c r="N247" s="162">
        <f>IF(Главная!$P$9="Дол.",BB247,IF(Главная!$P$9="гривен.",AT247,IF(Главная!$P$9="рублей.",AM247,AT247)))</f>
        <v>1.74</v>
      </c>
      <c r="O247" s="162">
        <f>IF(Главная!$P$9="Дол.",BC247,IF(Главная!$P$9="гривен.",AU247,IF(Главная!$P$9="рублей.",AN247,AU247)))</f>
        <v>1.74</v>
      </c>
      <c r="P247" s="141">
        <v>2.59</v>
      </c>
      <c r="Q247" s="141">
        <v>2.59</v>
      </c>
      <c r="AP247" s="144" t="s">
        <v>2273</v>
      </c>
      <c r="AQ247" s="141">
        <v>1.74</v>
      </c>
      <c r="AR247" s="141">
        <v>1.74</v>
      </c>
      <c r="AS247" s="141">
        <v>1.74</v>
      </c>
      <c r="AT247" s="141">
        <v>1.74</v>
      </c>
      <c r="AU247" s="141">
        <v>1.74</v>
      </c>
      <c r="AV247" s="141">
        <v>1.74</v>
      </c>
      <c r="AW247" s="141">
        <v>1.74</v>
      </c>
      <c r="AX247" s="126" t="s">
        <v>2588</v>
      </c>
    </row>
    <row r="248" spans="1:50" s="140" customFormat="1" ht="12.75" customHeight="1">
      <c r="A248" s="150" t="str">
        <f>IF(Главная!$P$9="Дол.",AX248,IF(Главная!$P$9="гривен.",AP248,IF(Главная!$P$9="рублей.",AI248,AP248)))</f>
        <v>Приморск</v>
      </c>
      <c r="B248" s="141">
        <v>1.86</v>
      </c>
      <c r="J248" s="141">
        <v>1.86</v>
      </c>
      <c r="K248" s="162">
        <f>IF(Главная!$P$9="Дол.",AY248,IF(Главная!$P$9="гривен.",AQ248,IF(Главная!$P$9="рублей.",AJ248,AQ248)))</f>
        <v>1.86</v>
      </c>
      <c r="L248" s="162">
        <f>IF(Главная!$P$9="Дол.",AZ248,IF(Главная!$P$9="гривен.",AR248,IF(Главная!$P$9="рублей.",AK248,AR248)))</f>
        <v>1.86</v>
      </c>
      <c r="M248" s="162">
        <f>IF(Главная!$P$9="Дол.",BA248,IF(Главная!$P$9="гривен.",AS248,IF(Главная!$P$9="рублей.",AL248,AS248)))</f>
        <v>1.86</v>
      </c>
      <c r="N248" s="162">
        <f>IF(Главная!$P$9="Дол.",BB248,IF(Главная!$P$9="гривен.",AT248,IF(Главная!$P$9="рублей.",AM248,AT248)))</f>
        <v>1.86</v>
      </c>
      <c r="O248" s="162">
        <f>IF(Главная!$P$9="Дол.",BC248,IF(Главная!$P$9="гривен.",AU248,IF(Главная!$P$9="рублей.",AN248,AU248)))</f>
        <v>1.86</v>
      </c>
      <c r="P248" s="141">
        <v>1.86</v>
      </c>
      <c r="Q248" s="141">
        <v>1.86</v>
      </c>
      <c r="AP248" s="144" t="s">
        <v>2272</v>
      </c>
      <c r="AQ248" s="141">
        <v>1.86</v>
      </c>
      <c r="AR248" s="141">
        <v>1.86</v>
      </c>
      <c r="AS248" s="141">
        <v>1.86</v>
      </c>
      <c r="AT248" s="141">
        <v>1.86</v>
      </c>
      <c r="AU248" s="141">
        <v>1.86</v>
      </c>
      <c r="AV248" s="141">
        <v>1.86</v>
      </c>
      <c r="AW248" s="141">
        <v>1.86</v>
      </c>
      <c r="AX248" s="126" t="s">
        <v>2589</v>
      </c>
    </row>
    <row r="249" spans="1:50" s="140" customFormat="1" ht="12.75" customHeight="1">
      <c r="A249" s="150" t="str">
        <f>IF(Главная!$P$9="Дол.",AX249,IF(Главная!$P$9="гривен.",AP249,IF(Главная!$P$9="рублей.",AI249,AP249)))</f>
        <v>Путивль</v>
      </c>
      <c r="B249" s="141">
        <v>1.74</v>
      </c>
      <c r="J249" s="141">
        <v>1.74</v>
      </c>
      <c r="K249" s="162">
        <f>IF(Главная!$P$9="Дол.",AY249,IF(Главная!$P$9="гривен.",AQ249,IF(Главная!$P$9="рублей.",AJ249,AQ249)))</f>
        <v>1.21</v>
      </c>
      <c r="L249" s="162">
        <f>IF(Главная!$P$9="Дол.",AZ249,IF(Главная!$P$9="гривен.",AR249,IF(Главная!$P$9="рублей.",AK249,AR249)))</f>
        <v>1.21</v>
      </c>
      <c r="M249" s="162">
        <f>IF(Главная!$P$9="Дол.",BA249,IF(Главная!$P$9="гривен.",AS249,IF(Главная!$P$9="рублей.",AL249,AS249)))</f>
        <v>1.21</v>
      </c>
      <c r="N249" s="162">
        <f>IF(Главная!$P$9="Дол.",BB249,IF(Главная!$P$9="гривен.",AT249,IF(Главная!$P$9="рублей.",AM249,AT249)))</f>
        <v>1.21</v>
      </c>
      <c r="O249" s="162">
        <f>IF(Главная!$P$9="Дол.",BC249,IF(Главная!$P$9="гривен.",AU249,IF(Главная!$P$9="рублей.",AN249,AU249)))</f>
        <v>1.21</v>
      </c>
      <c r="P249" s="141">
        <v>1.74</v>
      </c>
      <c r="Q249" s="141">
        <v>1.74</v>
      </c>
      <c r="AP249" s="144" t="s">
        <v>2271</v>
      </c>
      <c r="AQ249" s="141">
        <v>1.21</v>
      </c>
      <c r="AR249" s="141">
        <v>1.21</v>
      </c>
      <c r="AS249" s="141">
        <v>1.21</v>
      </c>
      <c r="AT249" s="141">
        <v>1.21</v>
      </c>
      <c r="AU249" s="141">
        <v>1.21</v>
      </c>
      <c r="AV249" s="141">
        <v>1.21</v>
      </c>
      <c r="AW249" s="141">
        <v>1.21</v>
      </c>
      <c r="AX249" s="126" t="s">
        <v>2590</v>
      </c>
    </row>
    <row r="250" spans="1:50" s="140" customFormat="1" ht="12.75" customHeight="1">
      <c r="A250" s="150" t="str">
        <f>IF(Главная!$P$9="Дол.",AX250,IF(Главная!$P$9="гривен.",AP250,IF(Главная!$P$9="рублей.",AI250,AP250)))</f>
        <v>Пятихатки</v>
      </c>
      <c r="B250" s="141">
        <v>2.59</v>
      </c>
      <c r="J250" s="141">
        <v>2.59</v>
      </c>
      <c r="K250" s="162">
        <f>IF(Главная!$P$9="Дол.",AY250,IF(Главная!$P$9="гривен.",AQ250,IF(Главная!$P$9="рублей.",AJ250,AQ250)))</f>
        <v>1.86</v>
      </c>
      <c r="L250" s="162">
        <f>IF(Главная!$P$9="Дол.",AZ250,IF(Главная!$P$9="гривен.",AR250,IF(Главная!$P$9="рублей.",AK250,AR250)))</f>
        <v>1.86</v>
      </c>
      <c r="M250" s="162">
        <f>IF(Главная!$P$9="Дол.",BA250,IF(Главная!$P$9="гривен.",AS250,IF(Главная!$P$9="рублей.",AL250,AS250)))</f>
        <v>1.86</v>
      </c>
      <c r="N250" s="162">
        <f>IF(Главная!$P$9="Дол.",BB250,IF(Главная!$P$9="гривен.",AT250,IF(Главная!$P$9="рублей.",AM250,AT250)))</f>
        <v>1.86</v>
      </c>
      <c r="O250" s="162">
        <f>IF(Главная!$P$9="Дол.",BC250,IF(Главная!$P$9="гривен.",AU250,IF(Главная!$P$9="рублей.",AN250,AU250)))</f>
        <v>1.86</v>
      </c>
      <c r="P250" s="141">
        <v>2.59</v>
      </c>
      <c r="Q250" s="141">
        <v>2.59</v>
      </c>
      <c r="AP250" s="144" t="s">
        <v>2270</v>
      </c>
      <c r="AQ250" s="141">
        <v>1.86</v>
      </c>
      <c r="AR250" s="141">
        <v>1.86</v>
      </c>
      <c r="AS250" s="141">
        <v>1.86</v>
      </c>
      <c r="AT250" s="141">
        <v>1.86</v>
      </c>
      <c r="AU250" s="141">
        <v>1.86</v>
      </c>
      <c r="AV250" s="141">
        <v>1.86</v>
      </c>
      <c r="AW250" s="141">
        <v>1.86</v>
      </c>
      <c r="AX250" s="126" t="s">
        <v>2583</v>
      </c>
    </row>
    <row r="251" spans="1:50" s="140" customFormat="1" ht="12.75" customHeight="1">
      <c r="A251" s="150" t="str">
        <f>IF(Главная!$P$9="Дол.",AX251,IF(Главная!$P$9="гривен.",AP251,IF(Главная!$P$9="рублей.",AI251,AP251)))</f>
        <v>Рава-Русская</v>
      </c>
      <c r="B251" s="141">
        <v>1.74</v>
      </c>
      <c r="J251" s="141">
        <v>1.74</v>
      </c>
      <c r="K251" s="162">
        <f>IF(Главная!$P$9="Дол.",AY251,IF(Главная!$P$9="гривен.",AQ251,IF(Главная!$P$9="рублей.",AJ251,AQ251)))</f>
        <v>2.12</v>
      </c>
      <c r="L251" s="162">
        <f>IF(Главная!$P$9="Дол.",AZ251,IF(Главная!$P$9="гривен.",AR251,IF(Главная!$P$9="рублей.",AK251,AR251)))</f>
        <v>2.12</v>
      </c>
      <c r="M251" s="162">
        <f>IF(Главная!$P$9="Дол.",BA251,IF(Главная!$P$9="гривен.",AS251,IF(Главная!$P$9="рублей.",AL251,AS251)))</f>
        <v>2.12</v>
      </c>
      <c r="N251" s="162">
        <f>IF(Главная!$P$9="Дол.",BB251,IF(Главная!$P$9="гривен.",AT251,IF(Главная!$P$9="рублей.",AM251,AT251)))</f>
        <v>2.12</v>
      </c>
      <c r="O251" s="162">
        <f>IF(Главная!$P$9="Дол.",BC251,IF(Главная!$P$9="гривен.",AU251,IF(Главная!$P$9="рублей.",AN251,AU251)))</f>
        <v>2.12</v>
      </c>
      <c r="P251" s="141">
        <v>1.74</v>
      </c>
      <c r="Q251" s="141">
        <v>1.74</v>
      </c>
      <c r="AP251" s="144" t="s">
        <v>2269</v>
      </c>
      <c r="AQ251" s="141">
        <v>2.12</v>
      </c>
      <c r="AR251" s="141">
        <v>2.12</v>
      </c>
      <c r="AS251" s="141">
        <v>2.12</v>
      </c>
      <c r="AT251" s="141">
        <v>2.12</v>
      </c>
      <c r="AU251" s="141">
        <v>2.12</v>
      </c>
      <c r="AV251" s="141">
        <v>2.12</v>
      </c>
      <c r="AW251" s="141">
        <v>2.12</v>
      </c>
      <c r="AX251" s="126" t="s">
        <v>2584</v>
      </c>
    </row>
    <row r="252" spans="1:50" s="140" customFormat="1" ht="12.75" customHeight="1">
      <c r="A252" s="150" t="str">
        <f>IF(Главная!$P$9="Дол.",AX252,IF(Главная!$P$9="гривен.",AP252,IF(Главная!$P$9="рублей.",AI252,AP252)))</f>
        <v>Радехов</v>
      </c>
      <c r="B252" s="141">
        <v>1.74</v>
      </c>
      <c r="J252" s="141">
        <v>1.74</v>
      </c>
      <c r="K252" s="162">
        <f>IF(Главная!$P$9="Дол.",AY252,IF(Главная!$P$9="гривен.",AQ252,IF(Главная!$P$9="рублей.",AJ252,AQ252)))</f>
        <v>2.12</v>
      </c>
      <c r="L252" s="162">
        <f>IF(Главная!$P$9="Дол.",AZ252,IF(Главная!$P$9="гривен.",AR252,IF(Главная!$P$9="рублей.",AK252,AR252)))</f>
        <v>2.12</v>
      </c>
      <c r="M252" s="162">
        <f>IF(Главная!$P$9="Дол.",BA252,IF(Главная!$P$9="гривен.",AS252,IF(Главная!$P$9="рублей.",AL252,AS252)))</f>
        <v>2.12</v>
      </c>
      <c r="N252" s="162">
        <f>IF(Главная!$P$9="Дол.",BB252,IF(Главная!$P$9="гривен.",AT252,IF(Главная!$P$9="рублей.",AM252,AT252)))</f>
        <v>2.12</v>
      </c>
      <c r="O252" s="162">
        <f>IF(Главная!$P$9="Дол.",BC252,IF(Главная!$P$9="гривен.",AU252,IF(Главная!$P$9="рублей.",AN252,AU252)))</f>
        <v>2.12</v>
      </c>
      <c r="P252" s="141">
        <v>1.74</v>
      </c>
      <c r="Q252" s="141">
        <v>1.74</v>
      </c>
      <c r="AP252" s="144" t="s">
        <v>2268</v>
      </c>
      <c r="AQ252" s="141">
        <v>2.12</v>
      </c>
      <c r="AR252" s="141">
        <v>2.12</v>
      </c>
      <c r="AS252" s="141">
        <v>2.12</v>
      </c>
      <c r="AT252" s="141">
        <v>2.12</v>
      </c>
      <c r="AU252" s="141">
        <v>2.12</v>
      </c>
      <c r="AV252" s="141">
        <v>2.12</v>
      </c>
      <c r="AW252" s="141">
        <v>2.12</v>
      </c>
      <c r="AX252" s="126" t="s">
        <v>2585</v>
      </c>
    </row>
    <row r="253" spans="1:50" s="140" customFormat="1" ht="12.75" customHeight="1">
      <c r="A253" s="150" t="str">
        <f>IF(Главная!$P$9="Дол.",AX253,IF(Главная!$P$9="гривен.",AP253,IF(Главная!$P$9="рублей.",AI253,AP253)))</f>
        <v>Радивилов</v>
      </c>
      <c r="B253" s="141">
        <v>2.12</v>
      </c>
      <c r="J253" s="141">
        <v>2.12</v>
      </c>
      <c r="K253" s="162">
        <f>IF(Главная!$P$9="Дол.",AY253,IF(Главная!$P$9="гривен.",AQ253,IF(Главная!$P$9="рублей.",AJ253,AQ253)))</f>
        <v>2.12</v>
      </c>
      <c r="L253" s="162">
        <f>IF(Главная!$P$9="Дол.",AZ253,IF(Главная!$P$9="гривен.",AR253,IF(Главная!$P$9="рублей.",AK253,AR253)))</f>
        <v>2.12</v>
      </c>
      <c r="M253" s="162">
        <f>IF(Главная!$P$9="Дол.",BA253,IF(Главная!$P$9="гривен.",AS253,IF(Главная!$P$9="рублей.",AL253,AS253)))</f>
        <v>2.12</v>
      </c>
      <c r="N253" s="162">
        <f>IF(Главная!$P$9="Дол.",BB253,IF(Главная!$P$9="гривен.",AT253,IF(Главная!$P$9="рублей.",AM253,AT253)))</f>
        <v>2.12</v>
      </c>
      <c r="O253" s="162">
        <f>IF(Главная!$P$9="Дол.",BC253,IF(Главная!$P$9="гривен.",AU253,IF(Главная!$P$9="рублей.",AN253,AU253)))</f>
        <v>2.12</v>
      </c>
      <c r="P253" s="141">
        <v>2.12</v>
      </c>
      <c r="Q253" s="141">
        <v>2.12</v>
      </c>
      <c r="AP253" s="144" t="s">
        <v>2267</v>
      </c>
      <c r="AQ253" s="141">
        <v>2.12</v>
      </c>
      <c r="AR253" s="141">
        <v>2.12</v>
      </c>
      <c r="AS253" s="141">
        <v>2.12</v>
      </c>
      <c r="AT253" s="141">
        <v>2.12</v>
      </c>
      <c r="AU253" s="141">
        <v>2.12</v>
      </c>
      <c r="AV253" s="141">
        <v>2.12</v>
      </c>
      <c r="AW253" s="141">
        <v>2.12</v>
      </c>
      <c r="AX253" s="126" t="s">
        <v>2586</v>
      </c>
    </row>
    <row r="254" spans="1:50" s="140" customFormat="1" ht="12.75" customHeight="1">
      <c r="A254" s="150" t="str">
        <f>IF(Главная!$P$9="Дол.",AX254,IF(Главная!$P$9="гривен.",AP254,IF(Главная!$P$9="рублей.",AI254,AP254)))</f>
        <v>Раздельная</v>
      </c>
      <c r="B254" s="141">
        <v>2.12</v>
      </c>
      <c r="J254" s="141">
        <v>2.12</v>
      </c>
      <c r="K254" s="162">
        <f>IF(Главная!$P$9="Дол.",AY254,IF(Главная!$P$9="гривен.",AQ254,IF(Главная!$P$9="рублей.",AJ254,AQ254)))</f>
        <v>1.86</v>
      </c>
      <c r="L254" s="162">
        <f>IF(Главная!$P$9="Дол.",AZ254,IF(Главная!$P$9="гривен.",AR254,IF(Главная!$P$9="рублей.",AK254,AR254)))</f>
        <v>1.86</v>
      </c>
      <c r="M254" s="162">
        <f>IF(Главная!$P$9="Дол.",BA254,IF(Главная!$P$9="гривен.",AS254,IF(Главная!$P$9="рублей.",AL254,AS254)))</f>
        <v>1.86</v>
      </c>
      <c r="N254" s="162">
        <f>IF(Главная!$P$9="Дол.",BB254,IF(Главная!$P$9="гривен.",AT254,IF(Главная!$P$9="рублей.",AM254,AT254)))</f>
        <v>1.86</v>
      </c>
      <c r="O254" s="162">
        <f>IF(Главная!$P$9="Дол.",BC254,IF(Главная!$P$9="гривен.",AU254,IF(Главная!$P$9="рублей.",AN254,AU254)))</f>
        <v>1.86</v>
      </c>
      <c r="P254" s="141">
        <v>2.12</v>
      </c>
      <c r="Q254" s="141">
        <v>2.12</v>
      </c>
      <c r="AP254" s="144" t="s">
        <v>2266</v>
      </c>
      <c r="AQ254" s="141">
        <v>1.86</v>
      </c>
      <c r="AR254" s="141">
        <v>1.86</v>
      </c>
      <c r="AS254" s="141">
        <v>1.86</v>
      </c>
      <c r="AT254" s="141">
        <v>1.86</v>
      </c>
      <c r="AU254" s="141">
        <v>1.86</v>
      </c>
      <c r="AV254" s="141">
        <v>1.86</v>
      </c>
      <c r="AW254" s="141">
        <v>1.86</v>
      </c>
      <c r="AX254" s="126" t="s">
        <v>2587</v>
      </c>
    </row>
    <row r="255" spans="1:50" s="140" customFormat="1" ht="12.75" customHeight="1">
      <c r="A255" s="150" t="str">
        <f>IF(Главная!$P$9="Дол.",AX255,IF(Главная!$P$9="гривен.",AP255,IF(Главная!$P$9="рублей.",AI255,AP255)))</f>
        <v>Ракитное (Киевская обл.)</v>
      </c>
      <c r="B255" s="141">
        <v>1.86</v>
      </c>
      <c r="J255" s="141">
        <v>1.86</v>
      </c>
      <c r="K255" s="162">
        <f>IF(Главная!$P$9="Дол.",AY255,IF(Главная!$P$9="гривен.",AQ255,IF(Главная!$P$9="рублей.",AJ255,AQ255)))</f>
        <v>1.74</v>
      </c>
      <c r="L255" s="162">
        <f>IF(Главная!$P$9="Дол.",AZ255,IF(Главная!$P$9="гривен.",AR255,IF(Главная!$P$9="рублей.",AK255,AR255)))</f>
        <v>1.74</v>
      </c>
      <c r="M255" s="162">
        <f>IF(Главная!$P$9="Дол.",BA255,IF(Главная!$P$9="гривен.",AS255,IF(Главная!$P$9="рублей.",AL255,AS255)))</f>
        <v>1.74</v>
      </c>
      <c r="N255" s="162">
        <f>IF(Главная!$P$9="Дол.",BB255,IF(Главная!$P$9="гривен.",AT255,IF(Главная!$P$9="рублей.",AM255,AT255)))</f>
        <v>1.74</v>
      </c>
      <c r="O255" s="162">
        <f>IF(Главная!$P$9="Дол.",BC255,IF(Главная!$P$9="гривен.",AU255,IF(Главная!$P$9="рублей.",AN255,AU255)))</f>
        <v>1.74</v>
      </c>
      <c r="P255" s="141">
        <v>1.86</v>
      </c>
      <c r="Q255" s="141">
        <v>1.86</v>
      </c>
      <c r="AP255" s="144" t="s">
        <v>2265</v>
      </c>
      <c r="AQ255" s="141">
        <v>1.74</v>
      </c>
      <c r="AR255" s="141">
        <v>1.74</v>
      </c>
      <c r="AS255" s="141">
        <v>1.74</v>
      </c>
      <c r="AT255" s="141">
        <v>1.74</v>
      </c>
      <c r="AU255" s="141">
        <v>1.74</v>
      </c>
      <c r="AV255" s="141">
        <v>1.74</v>
      </c>
      <c r="AW255" s="141">
        <v>1.74</v>
      </c>
      <c r="AX255" s="126" t="s">
        <v>2588</v>
      </c>
    </row>
    <row r="256" spans="1:50" s="140" customFormat="1" ht="12.75" customHeight="1">
      <c r="A256" s="150" t="str">
        <f>IF(Главная!$P$9="Дол.",AX256,IF(Главная!$P$9="гривен.",AP256,IF(Главная!$P$9="рублей.",AI256,AP256)))</f>
        <v>Рени</v>
      </c>
      <c r="B256" s="141">
        <v>2.12</v>
      </c>
      <c r="J256" s="141">
        <v>2.12</v>
      </c>
      <c r="K256" s="162">
        <f>IF(Главная!$P$9="Дол.",AY256,IF(Главная!$P$9="гривен.",AQ256,IF(Главная!$P$9="рублей.",AJ256,AQ256)))</f>
        <v>2.23</v>
      </c>
      <c r="L256" s="162">
        <f>IF(Главная!$P$9="Дол.",AZ256,IF(Главная!$P$9="гривен.",AR256,IF(Главная!$P$9="рублей.",AK256,AR256)))</f>
        <v>2.23</v>
      </c>
      <c r="M256" s="162">
        <f>IF(Главная!$P$9="Дол.",BA256,IF(Главная!$P$9="гривен.",AS256,IF(Главная!$P$9="рублей.",AL256,AS256)))</f>
        <v>2.23</v>
      </c>
      <c r="N256" s="162">
        <f>IF(Главная!$P$9="Дол.",BB256,IF(Главная!$P$9="гривен.",AT256,IF(Главная!$P$9="рублей.",AM256,AT256)))</f>
        <v>2.23</v>
      </c>
      <c r="O256" s="162">
        <f>IF(Главная!$P$9="Дол.",BC256,IF(Главная!$P$9="гривен.",AU256,IF(Главная!$P$9="рублей.",AN256,AU256)))</f>
        <v>2.23</v>
      </c>
      <c r="P256" s="141">
        <v>2.12</v>
      </c>
      <c r="Q256" s="141">
        <v>2.12</v>
      </c>
      <c r="AP256" s="144" t="s">
        <v>2264</v>
      </c>
      <c r="AQ256" s="141">
        <v>2.23</v>
      </c>
      <c r="AR256" s="141">
        <v>2.23</v>
      </c>
      <c r="AS256" s="141">
        <v>2.23</v>
      </c>
      <c r="AT256" s="141">
        <v>2.23</v>
      </c>
      <c r="AU256" s="141">
        <v>2.23</v>
      </c>
      <c r="AV256" s="141">
        <v>2.23</v>
      </c>
      <c r="AW256" s="141">
        <v>2.23</v>
      </c>
      <c r="AX256" s="126" t="s">
        <v>2589</v>
      </c>
    </row>
    <row r="257" spans="1:50" s="140" customFormat="1" ht="12.75" customHeight="1">
      <c r="A257" s="150" t="str">
        <f>IF(Главная!$P$9="Дол.",AX257,IF(Главная!$P$9="гривен.",AP257,IF(Главная!$P$9="рублей.",AI257,AP257)))</f>
        <v>Решетиловка</v>
      </c>
      <c r="B257" s="141">
        <v>2.12</v>
      </c>
      <c r="J257" s="141">
        <v>2.12</v>
      </c>
      <c r="K257" s="162">
        <f>IF(Главная!$P$9="Дол.",AY257,IF(Главная!$P$9="гривен.",AQ257,IF(Главная!$P$9="рублей.",AJ257,AQ257)))</f>
        <v>1.21</v>
      </c>
      <c r="L257" s="162">
        <f>IF(Главная!$P$9="Дол.",AZ257,IF(Главная!$P$9="гривен.",AR257,IF(Главная!$P$9="рублей.",AK257,AR257)))</f>
        <v>1.21</v>
      </c>
      <c r="M257" s="162">
        <f>IF(Главная!$P$9="Дол.",BA257,IF(Главная!$P$9="гривен.",AS257,IF(Главная!$P$9="рублей.",AL257,AS257)))</f>
        <v>1.21</v>
      </c>
      <c r="N257" s="162">
        <f>IF(Главная!$P$9="Дол.",BB257,IF(Главная!$P$9="гривен.",AT257,IF(Главная!$P$9="рублей.",AM257,AT257)))</f>
        <v>1.21</v>
      </c>
      <c r="O257" s="162">
        <f>IF(Главная!$P$9="Дол.",BC257,IF(Главная!$P$9="гривен.",AU257,IF(Главная!$P$9="рублей.",AN257,AU257)))</f>
        <v>1.21</v>
      </c>
      <c r="P257" s="141">
        <v>2.12</v>
      </c>
      <c r="Q257" s="141">
        <v>2.12</v>
      </c>
      <c r="AP257" s="144" t="s">
        <v>2263</v>
      </c>
      <c r="AQ257" s="141">
        <v>1.21</v>
      </c>
      <c r="AR257" s="141">
        <v>1.21</v>
      </c>
      <c r="AS257" s="141">
        <v>1.21</v>
      </c>
      <c r="AT257" s="141">
        <v>1.21</v>
      </c>
      <c r="AU257" s="141">
        <v>1.21</v>
      </c>
      <c r="AV257" s="141">
        <v>1.21</v>
      </c>
      <c r="AW257" s="141">
        <v>1.21</v>
      </c>
      <c r="AX257" s="126" t="s">
        <v>2590</v>
      </c>
    </row>
    <row r="258" spans="1:50" s="140" customFormat="1" ht="12.75" customHeight="1">
      <c r="A258" s="150" t="str">
        <f>IF(Главная!$P$9="Дол.",AX258,IF(Главная!$P$9="гривен.",AP258,IF(Главная!$P$9="рублей.",AI258,AP258)))</f>
        <v>Ровеньки</v>
      </c>
      <c r="B258" s="141">
        <v>2.59</v>
      </c>
      <c r="J258" s="141">
        <v>2.59</v>
      </c>
      <c r="K258" s="162">
        <f>IF(Главная!$P$9="Дол.",AY258,IF(Главная!$P$9="гривен.",AQ258,IF(Главная!$P$9="рублей.",AJ258,AQ258)))</f>
        <v>2.23</v>
      </c>
      <c r="L258" s="162">
        <f>IF(Главная!$P$9="Дол.",AZ258,IF(Главная!$P$9="гривен.",AR258,IF(Главная!$P$9="рублей.",AK258,AR258)))</f>
        <v>2.23</v>
      </c>
      <c r="M258" s="162">
        <f>IF(Главная!$P$9="Дол.",BA258,IF(Главная!$P$9="гривен.",AS258,IF(Главная!$P$9="рублей.",AL258,AS258)))</f>
        <v>2.23</v>
      </c>
      <c r="N258" s="162">
        <f>IF(Главная!$P$9="Дол.",BB258,IF(Главная!$P$9="гривен.",AT258,IF(Главная!$P$9="рублей.",AM258,AT258)))</f>
        <v>2.23</v>
      </c>
      <c r="O258" s="162">
        <f>IF(Главная!$P$9="Дол.",BC258,IF(Главная!$P$9="гривен.",AU258,IF(Главная!$P$9="рублей.",AN258,AU258)))</f>
        <v>2.23</v>
      </c>
      <c r="P258" s="141">
        <v>2.59</v>
      </c>
      <c r="Q258" s="141">
        <v>2.59</v>
      </c>
      <c r="AP258" s="144" t="s">
        <v>2262</v>
      </c>
      <c r="AQ258" s="141">
        <v>2.23</v>
      </c>
      <c r="AR258" s="141">
        <v>2.23</v>
      </c>
      <c r="AS258" s="141">
        <v>2.23</v>
      </c>
      <c r="AT258" s="141">
        <v>2.23</v>
      </c>
      <c r="AU258" s="141">
        <v>2.23</v>
      </c>
      <c r="AV258" s="141">
        <v>2.23</v>
      </c>
      <c r="AW258" s="141">
        <v>2.23</v>
      </c>
      <c r="AX258" s="126" t="s">
        <v>2583</v>
      </c>
    </row>
    <row r="259" spans="1:50" s="140" customFormat="1" ht="12.75" customHeight="1">
      <c r="A259" s="150" t="str">
        <f>IF(Главная!$P$9="Дол.",AX259,IF(Главная!$P$9="гривен.",AP259,IF(Главная!$P$9="рублей.",AI259,AP259)))</f>
        <v>Ровно</v>
      </c>
      <c r="B259" s="141">
        <v>1.21</v>
      </c>
      <c r="J259" s="141">
        <v>1.21</v>
      </c>
      <c r="K259" s="162">
        <f>IF(Главная!$P$9="Дол.",AY259,IF(Главная!$P$9="гривен.",AQ259,IF(Главная!$P$9="рублей.",AJ259,AQ259)))</f>
        <v>1.86</v>
      </c>
      <c r="L259" s="162">
        <f>IF(Главная!$P$9="Дол.",AZ259,IF(Главная!$P$9="гривен.",AR259,IF(Главная!$P$9="рублей.",AK259,AR259)))</f>
        <v>1.86</v>
      </c>
      <c r="M259" s="162">
        <f>IF(Главная!$P$9="Дол.",BA259,IF(Главная!$P$9="гривен.",AS259,IF(Главная!$P$9="рублей.",AL259,AS259)))</f>
        <v>1.86</v>
      </c>
      <c r="N259" s="162">
        <f>IF(Главная!$P$9="Дол.",BB259,IF(Главная!$P$9="гривен.",AT259,IF(Главная!$P$9="рублей.",AM259,AT259)))</f>
        <v>1.86</v>
      </c>
      <c r="O259" s="162">
        <f>IF(Главная!$P$9="Дол.",BC259,IF(Главная!$P$9="гривен.",AU259,IF(Главная!$P$9="рублей.",AN259,AU259)))</f>
        <v>1.86</v>
      </c>
      <c r="P259" s="141">
        <v>1.21</v>
      </c>
      <c r="Q259" s="141">
        <v>1.21</v>
      </c>
      <c r="AP259" s="144" t="s">
        <v>2261</v>
      </c>
      <c r="AQ259" s="141">
        <v>1.86</v>
      </c>
      <c r="AR259" s="141">
        <v>1.86</v>
      </c>
      <c r="AS259" s="141">
        <v>1.86</v>
      </c>
      <c r="AT259" s="141">
        <v>1.86</v>
      </c>
      <c r="AU259" s="141">
        <v>1.86</v>
      </c>
      <c r="AV259" s="141">
        <v>1.86</v>
      </c>
      <c r="AW259" s="141">
        <v>1.86</v>
      </c>
      <c r="AX259" s="126" t="s">
        <v>2584</v>
      </c>
    </row>
    <row r="260" spans="1:50" s="140" customFormat="1" ht="12.75" customHeight="1">
      <c r="A260" s="150" t="str">
        <f>IF(Главная!$P$9="Дол.",AX260,IF(Главная!$P$9="гривен.",AP260,IF(Главная!$P$9="рублей.",AI260,AP260)))</f>
        <v>Рожище</v>
      </c>
      <c r="B260" s="141">
        <v>1.21</v>
      </c>
      <c r="J260" s="141">
        <v>1.21</v>
      </c>
      <c r="K260" s="162">
        <f>IF(Главная!$P$9="Дол.",AY260,IF(Главная!$P$9="гривен.",AQ260,IF(Главная!$P$9="рублей.",AJ260,AQ260)))</f>
        <v>2.12</v>
      </c>
      <c r="L260" s="162">
        <f>IF(Главная!$P$9="Дол.",AZ260,IF(Главная!$P$9="гривен.",AR260,IF(Главная!$P$9="рублей.",AK260,AR260)))</f>
        <v>2.12</v>
      </c>
      <c r="M260" s="162">
        <f>IF(Главная!$P$9="Дол.",BA260,IF(Главная!$P$9="гривен.",AS260,IF(Главная!$P$9="рублей.",AL260,AS260)))</f>
        <v>2.12</v>
      </c>
      <c r="N260" s="162">
        <f>IF(Главная!$P$9="Дол.",BB260,IF(Главная!$P$9="гривен.",AT260,IF(Главная!$P$9="рублей.",AM260,AT260)))</f>
        <v>2.12</v>
      </c>
      <c r="O260" s="162">
        <f>IF(Главная!$P$9="Дол.",BC260,IF(Главная!$P$9="гривен.",AU260,IF(Главная!$P$9="рублей.",AN260,AU260)))</f>
        <v>2.12</v>
      </c>
      <c r="P260" s="141">
        <v>1.21</v>
      </c>
      <c r="Q260" s="141">
        <v>1.21</v>
      </c>
      <c r="AP260" s="144" t="s">
        <v>2260</v>
      </c>
      <c r="AQ260" s="141">
        <v>2.12</v>
      </c>
      <c r="AR260" s="141">
        <v>2.12</v>
      </c>
      <c r="AS260" s="141">
        <v>2.12</v>
      </c>
      <c r="AT260" s="141">
        <v>2.12</v>
      </c>
      <c r="AU260" s="141">
        <v>2.12</v>
      </c>
      <c r="AV260" s="141">
        <v>2.12</v>
      </c>
      <c r="AW260" s="141">
        <v>2.12</v>
      </c>
      <c r="AX260" s="126" t="s">
        <v>2585</v>
      </c>
    </row>
    <row r="261" spans="1:50" s="140" customFormat="1" ht="12.75" customHeight="1">
      <c r="A261" s="150" t="str">
        <f>IF(Главная!$P$9="Дол.",AX261,IF(Главная!$P$9="гривен.",AP261,IF(Главная!$P$9="рублей.",AI261,AP261)))</f>
        <v>Рокитное (Ровенская обл.)</v>
      </c>
      <c r="B261" s="141">
        <v>1.74</v>
      </c>
      <c r="J261" s="141">
        <v>1.74</v>
      </c>
      <c r="K261" s="162">
        <f>IF(Главная!$P$9="Дол.",AY261,IF(Главная!$P$9="гривен.",AQ261,IF(Главная!$P$9="рублей.",AJ261,AQ261)))</f>
        <v>2.12</v>
      </c>
      <c r="L261" s="162">
        <f>IF(Главная!$P$9="Дол.",AZ261,IF(Главная!$P$9="гривен.",AR261,IF(Главная!$P$9="рублей.",AK261,AR261)))</f>
        <v>2.12</v>
      </c>
      <c r="M261" s="162">
        <f>IF(Главная!$P$9="Дол.",BA261,IF(Главная!$P$9="гривен.",AS261,IF(Главная!$P$9="рублей.",AL261,AS261)))</f>
        <v>2.12</v>
      </c>
      <c r="N261" s="162">
        <f>IF(Главная!$P$9="Дол.",BB261,IF(Главная!$P$9="гривен.",AT261,IF(Главная!$P$9="рублей.",AM261,AT261)))</f>
        <v>2.12</v>
      </c>
      <c r="O261" s="162">
        <f>IF(Главная!$P$9="Дол.",BC261,IF(Главная!$P$9="гривен.",AU261,IF(Главная!$P$9="рублей.",AN261,AU261)))</f>
        <v>2.12</v>
      </c>
      <c r="P261" s="141">
        <v>1.74</v>
      </c>
      <c r="Q261" s="141">
        <v>1.74</v>
      </c>
      <c r="AP261" s="144" t="s">
        <v>2259</v>
      </c>
      <c r="AQ261" s="141">
        <v>2.12</v>
      </c>
      <c r="AR261" s="141">
        <v>2.12</v>
      </c>
      <c r="AS261" s="141">
        <v>2.12</v>
      </c>
      <c r="AT261" s="141">
        <v>2.12</v>
      </c>
      <c r="AU261" s="141">
        <v>2.12</v>
      </c>
      <c r="AV261" s="141">
        <v>2.12</v>
      </c>
      <c r="AW261" s="141">
        <v>2.12</v>
      </c>
      <c r="AX261" s="126" t="s">
        <v>2586</v>
      </c>
    </row>
    <row r="262" spans="1:50" s="140" customFormat="1" ht="12.75" customHeight="1">
      <c r="A262" s="150" t="str">
        <f>IF(Главная!$P$9="Дол.",AX262,IF(Главная!$P$9="гривен.",AP262,IF(Главная!$P$9="рублей.",AI262,AP262)))</f>
        <v>Романов</v>
      </c>
      <c r="B262" s="141">
        <v>12</v>
      </c>
      <c r="J262" s="141">
        <v>12</v>
      </c>
      <c r="K262" s="162">
        <f>IF(Главная!$P$9="Дол.",AY262,IF(Главная!$P$9="гривен.",AQ262,IF(Главная!$P$9="рублей.",AJ262,AQ262)))</f>
        <v>1.74</v>
      </c>
      <c r="L262" s="162">
        <f>IF(Главная!$P$9="Дол.",AZ262,IF(Главная!$P$9="гривен.",AR262,IF(Главная!$P$9="рублей.",AK262,AR262)))</f>
        <v>1.74</v>
      </c>
      <c r="M262" s="162">
        <f>IF(Главная!$P$9="Дол.",BA262,IF(Главная!$P$9="гривен.",AS262,IF(Главная!$P$9="рублей.",AL262,AS262)))</f>
        <v>1.74</v>
      </c>
      <c r="N262" s="162">
        <f>IF(Главная!$P$9="Дол.",BB262,IF(Главная!$P$9="гривен.",AT262,IF(Главная!$P$9="рублей.",AM262,AT262)))</f>
        <v>1.74</v>
      </c>
      <c r="O262" s="162">
        <f>IF(Главная!$P$9="Дол.",BC262,IF(Главная!$P$9="гривен.",AU262,IF(Главная!$P$9="рублей.",AN262,AU262)))</f>
        <v>1.74</v>
      </c>
      <c r="P262" s="141">
        <v>12</v>
      </c>
      <c r="Q262" s="141">
        <v>12</v>
      </c>
      <c r="AP262" s="144" t="s">
        <v>2258</v>
      </c>
      <c r="AQ262" s="141">
        <v>1.74</v>
      </c>
      <c r="AR262" s="141">
        <v>1.74</v>
      </c>
      <c r="AS262" s="141">
        <v>1.74</v>
      </c>
      <c r="AT262" s="141">
        <v>1.74</v>
      </c>
      <c r="AU262" s="141">
        <v>1.74</v>
      </c>
      <c r="AV262" s="141">
        <v>1.74</v>
      </c>
      <c r="AW262" s="141">
        <v>1.74</v>
      </c>
      <c r="AX262" s="126" t="s">
        <v>2587</v>
      </c>
    </row>
    <row r="263" spans="1:50" s="140" customFormat="1" ht="12.75" customHeight="1">
      <c r="A263" s="150" t="str">
        <f>IF(Главная!$P$9="Дол.",AX263,IF(Главная!$P$9="гривен.",AP263,IF(Главная!$P$9="рублей.",AI263,AP263)))</f>
        <v>Ромны</v>
      </c>
      <c r="B263" s="141">
        <v>1.86</v>
      </c>
      <c r="J263" s="141">
        <v>1.86</v>
      </c>
      <c r="K263" s="162">
        <f>IF(Главная!$P$9="Дол.",AY263,IF(Главная!$P$9="гривен.",AQ263,IF(Главная!$P$9="рублей.",AJ263,AQ263)))</f>
        <v>1.21</v>
      </c>
      <c r="L263" s="162">
        <f>IF(Главная!$P$9="Дол.",AZ263,IF(Главная!$P$9="гривен.",AR263,IF(Главная!$P$9="рублей.",AK263,AR263)))</f>
        <v>1.21</v>
      </c>
      <c r="M263" s="162">
        <f>IF(Главная!$P$9="Дол.",BA263,IF(Главная!$P$9="гривен.",AS263,IF(Главная!$P$9="рублей.",AL263,AS263)))</f>
        <v>1.21</v>
      </c>
      <c r="N263" s="162">
        <f>IF(Главная!$P$9="Дол.",BB263,IF(Главная!$P$9="гривен.",AT263,IF(Главная!$P$9="рублей.",AM263,AT263)))</f>
        <v>1.21</v>
      </c>
      <c r="O263" s="162">
        <f>IF(Главная!$P$9="Дол.",BC263,IF(Главная!$P$9="гривен.",AU263,IF(Главная!$P$9="рублей.",AN263,AU263)))</f>
        <v>1.21</v>
      </c>
      <c r="P263" s="141">
        <v>1.86</v>
      </c>
      <c r="Q263" s="141">
        <v>1.86</v>
      </c>
      <c r="AP263" s="144" t="s">
        <v>2257</v>
      </c>
      <c r="AQ263" s="141">
        <v>1.21</v>
      </c>
      <c r="AR263" s="141">
        <v>1.21</v>
      </c>
      <c r="AS263" s="141">
        <v>1.21</v>
      </c>
      <c r="AT263" s="141">
        <v>1.21</v>
      </c>
      <c r="AU263" s="141">
        <v>1.21</v>
      </c>
      <c r="AV263" s="141">
        <v>1.21</v>
      </c>
      <c r="AW263" s="141">
        <v>1.21</v>
      </c>
      <c r="AX263" s="126" t="s">
        <v>2588</v>
      </c>
    </row>
    <row r="264" spans="1:50" s="140" customFormat="1" ht="12.75" customHeight="1">
      <c r="A264" s="150" t="str">
        <f>IF(Главная!$P$9="Дол.",AX264,IF(Главная!$P$9="гривен.",AP264,IF(Главная!$P$9="рублей.",AI264,AP264)))</f>
        <v>рублейежное</v>
      </c>
      <c r="B264" s="141">
        <v>2.12</v>
      </c>
      <c r="J264" s="141">
        <v>2.12</v>
      </c>
      <c r="K264" s="162">
        <f>IF(Главная!$P$9="Дол.",AY264,IF(Главная!$P$9="гривен.",AQ264,IF(Главная!$P$9="рублей.",AJ264,AQ264)))</f>
        <v>2.12</v>
      </c>
      <c r="L264" s="162">
        <f>IF(Главная!$P$9="Дол.",AZ264,IF(Главная!$P$9="гривен.",AR264,IF(Главная!$P$9="рублей.",AK264,AR264)))</f>
        <v>2.12</v>
      </c>
      <c r="M264" s="162">
        <f>IF(Главная!$P$9="Дол.",BA264,IF(Главная!$P$9="гривен.",AS264,IF(Главная!$P$9="рублей.",AL264,AS264)))</f>
        <v>2.12</v>
      </c>
      <c r="N264" s="162">
        <f>IF(Главная!$P$9="Дол.",BB264,IF(Главная!$P$9="гривен.",AT264,IF(Главная!$P$9="рублей.",AM264,AT264)))</f>
        <v>2.12</v>
      </c>
      <c r="O264" s="162">
        <f>IF(Главная!$P$9="Дол.",BC264,IF(Главная!$P$9="гривен.",AU264,IF(Главная!$P$9="рублей.",AN264,AU264)))</f>
        <v>2.12</v>
      </c>
      <c r="P264" s="141">
        <v>2.12</v>
      </c>
      <c r="Q264" s="141">
        <v>2.12</v>
      </c>
      <c r="AP264" s="144" t="s">
        <v>2610</v>
      </c>
      <c r="AQ264" s="141">
        <v>2.12</v>
      </c>
      <c r="AR264" s="141">
        <v>2.12</v>
      </c>
      <c r="AS264" s="141">
        <v>2.12</v>
      </c>
      <c r="AT264" s="141">
        <v>2.12</v>
      </c>
      <c r="AU264" s="141">
        <v>2.12</v>
      </c>
      <c r="AV264" s="141">
        <v>2.12</v>
      </c>
      <c r="AW264" s="141">
        <v>2.12</v>
      </c>
      <c r="AX264" s="126" t="s">
        <v>2589</v>
      </c>
    </row>
    <row r="265" spans="1:50" s="140" customFormat="1" ht="12.75" customHeight="1">
      <c r="A265" s="150" t="str">
        <f>IF(Главная!$P$9="Дол.",AX265,IF(Главная!$P$9="гривен.",AP265,IF(Главная!$P$9="рублей.",AI265,AP265)))</f>
        <v>Саки</v>
      </c>
      <c r="B265" s="141">
        <v>1.74</v>
      </c>
      <c r="J265" s="141">
        <v>1.74</v>
      </c>
      <c r="K265" s="162">
        <f>IF(Главная!$P$9="Дол.",AY265,IF(Главная!$P$9="гривен.",AQ265,IF(Главная!$P$9="рублей.",AJ265,AQ265)))</f>
        <v>12</v>
      </c>
      <c r="L265" s="162">
        <f>IF(Главная!$P$9="Дол.",AZ265,IF(Главная!$P$9="гривен.",AR265,IF(Главная!$P$9="рублей.",AK265,AR265)))</f>
        <v>12</v>
      </c>
      <c r="M265" s="162">
        <f>IF(Главная!$P$9="Дол.",BA265,IF(Главная!$P$9="гривен.",AS265,IF(Главная!$P$9="рублей.",AL265,AS265)))</f>
        <v>12</v>
      </c>
      <c r="N265" s="162">
        <f>IF(Главная!$P$9="Дол.",BB265,IF(Главная!$P$9="гривен.",AT265,IF(Главная!$P$9="рублей.",AM265,AT265)))</f>
        <v>12</v>
      </c>
      <c r="O265" s="162">
        <f>IF(Главная!$P$9="Дол.",BC265,IF(Главная!$P$9="гривен.",AU265,IF(Главная!$P$9="рублей.",AN265,AU265)))</f>
        <v>12</v>
      </c>
      <c r="P265" s="141">
        <v>1.74</v>
      </c>
      <c r="Q265" s="141">
        <v>1.74</v>
      </c>
      <c r="AP265" s="144" t="s">
        <v>2256</v>
      </c>
      <c r="AQ265" s="141">
        <v>12</v>
      </c>
      <c r="AR265" s="141">
        <v>12</v>
      </c>
      <c r="AS265" s="141">
        <v>12</v>
      </c>
      <c r="AT265" s="141">
        <v>12</v>
      </c>
      <c r="AU265" s="141">
        <v>12</v>
      </c>
      <c r="AV265" s="141">
        <v>12</v>
      </c>
      <c r="AW265" s="141">
        <v>12</v>
      </c>
      <c r="AX265" s="126" t="s">
        <v>2590</v>
      </c>
    </row>
    <row r="266" spans="1:50" s="140" customFormat="1" ht="12.75" customHeight="1">
      <c r="A266" s="150" t="str">
        <f>IF(Главная!$P$9="Дол.",AX266,IF(Главная!$P$9="гривен.",AP266,IF(Главная!$P$9="рублей.",AI266,AP266)))</f>
        <v>Самбор</v>
      </c>
      <c r="B266" s="141">
        <v>2.23</v>
      </c>
      <c r="J266" s="141">
        <v>2.23</v>
      </c>
      <c r="K266" s="162">
        <f>IF(Главная!$P$9="Дол.",AY266,IF(Главная!$P$9="гривен.",AQ266,IF(Главная!$P$9="рублей.",AJ266,AQ266)))</f>
        <v>2.12</v>
      </c>
      <c r="L266" s="162">
        <f>IF(Главная!$P$9="Дол.",AZ266,IF(Главная!$P$9="гривен.",AR266,IF(Главная!$P$9="рублей.",AK266,AR266)))</f>
        <v>2.12</v>
      </c>
      <c r="M266" s="162">
        <f>IF(Главная!$P$9="Дол.",BA266,IF(Главная!$P$9="гривен.",AS266,IF(Главная!$P$9="рублей.",AL266,AS266)))</f>
        <v>2.12</v>
      </c>
      <c r="N266" s="162">
        <f>IF(Главная!$P$9="Дол.",BB266,IF(Главная!$P$9="гривен.",AT266,IF(Главная!$P$9="рублей.",AM266,AT266)))</f>
        <v>2.12</v>
      </c>
      <c r="O266" s="162">
        <f>IF(Главная!$P$9="Дол.",BC266,IF(Главная!$P$9="гривен.",AU266,IF(Главная!$P$9="рублей.",AN266,AU266)))</f>
        <v>2.12</v>
      </c>
      <c r="P266" s="141">
        <v>2.23</v>
      </c>
      <c r="Q266" s="141">
        <v>2.23</v>
      </c>
      <c r="AP266" s="144" t="s">
        <v>2255</v>
      </c>
      <c r="AQ266" s="141">
        <v>2.12</v>
      </c>
      <c r="AR266" s="141">
        <v>2.12</v>
      </c>
      <c r="AS266" s="141">
        <v>2.12</v>
      </c>
      <c r="AT266" s="141">
        <v>2.12</v>
      </c>
      <c r="AU266" s="141">
        <v>2.12</v>
      </c>
      <c r="AV266" s="141">
        <v>2.12</v>
      </c>
      <c r="AW266" s="141">
        <v>2.12</v>
      </c>
      <c r="AX266" s="126" t="s">
        <v>2583</v>
      </c>
    </row>
    <row r="267" spans="1:50" s="140" customFormat="1" ht="12.75" customHeight="1">
      <c r="A267" s="150" t="str">
        <f>IF(Главная!$P$9="Дол.",AX267,IF(Главная!$P$9="гривен.",AP267,IF(Главная!$P$9="рублей.",AI267,AP267)))</f>
        <v>Сарны</v>
      </c>
      <c r="B267" s="141">
        <v>1.21</v>
      </c>
      <c r="J267" s="141">
        <v>1.21</v>
      </c>
      <c r="K267" s="162">
        <f>IF(Главная!$P$9="Дол.",AY267,IF(Главная!$P$9="гривен.",AQ267,IF(Главная!$P$9="рублей.",AJ267,AQ267)))</f>
        <v>2.12</v>
      </c>
      <c r="L267" s="162">
        <f>IF(Главная!$P$9="Дол.",AZ267,IF(Главная!$P$9="гривен.",AR267,IF(Главная!$P$9="рублей.",AK267,AR267)))</f>
        <v>2.12</v>
      </c>
      <c r="M267" s="162">
        <f>IF(Главная!$P$9="Дол.",BA267,IF(Главная!$P$9="гривен.",AS267,IF(Главная!$P$9="рублей.",AL267,AS267)))</f>
        <v>2.12</v>
      </c>
      <c r="N267" s="162">
        <f>IF(Главная!$P$9="Дол.",BB267,IF(Главная!$P$9="гривен.",AT267,IF(Главная!$P$9="рублей.",AM267,AT267)))</f>
        <v>2.12</v>
      </c>
      <c r="O267" s="162">
        <f>IF(Главная!$P$9="Дол.",BC267,IF(Главная!$P$9="гривен.",AU267,IF(Главная!$P$9="рублей.",AN267,AU267)))</f>
        <v>2.12</v>
      </c>
      <c r="P267" s="141">
        <v>1.21</v>
      </c>
      <c r="Q267" s="141">
        <v>1.21</v>
      </c>
      <c r="AP267" s="144" t="s">
        <v>2254</v>
      </c>
      <c r="AQ267" s="141">
        <v>2.12</v>
      </c>
      <c r="AR267" s="141">
        <v>2.12</v>
      </c>
      <c r="AS267" s="141">
        <v>2.12</v>
      </c>
      <c r="AT267" s="141">
        <v>2.12</v>
      </c>
      <c r="AU267" s="141">
        <v>2.12</v>
      </c>
      <c r="AV267" s="141">
        <v>2.12</v>
      </c>
      <c r="AW267" s="141">
        <v>2.12</v>
      </c>
      <c r="AX267" s="126" t="s">
        <v>2584</v>
      </c>
    </row>
    <row r="268" spans="1:50" s="140" customFormat="1" ht="12.75" customHeight="1">
      <c r="A268" s="150" t="str">
        <f>IF(Главная!$P$9="Дол.",AX268,IF(Главная!$P$9="гривен.",AP268,IF(Главная!$P$9="рублей.",AI268,AP268)))</f>
        <v>Свалява</v>
      </c>
      <c r="B268" s="141">
        <v>2.12</v>
      </c>
      <c r="J268" s="141">
        <v>2.12</v>
      </c>
      <c r="K268" s="162">
        <f>IF(Главная!$P$9="Дол.",AY268,IF(Главная!$P$9="гривен.",AQ268,IF(Главная!$P$9="рублей.",AJ268,AQ268)))</f>
        <v>2.59</v>
      </c>
      <c r="L268" s="162">
        <f>IF(Главная!$P$9="Дол.",AZ268,IF(Главная!$P$9="гривен.",AR268,IF(Главная!$P$9="рублей.",AK268,AR268)))</f>
        <v>2.59</v>
      </c>
      <c r="M268" s="162">
        <f>IF(Главная!$P$9="Дол.",BA268,IF(Главная!$P$9="гривен.",AS268,IF(Главная!$P$9="рублей.",AL268,AS268)))</f>
        <v>2.59</v>
      </c>
      <c r="N268" s="162">
        <f>IF(Главная!$P$9="Дол.",BB268,IF(Главная!$P$9="гривен.",AT268,IF(Главная!$P$9="рублей.",AM268,AT268)))</f>
        <v>2.59</v>
      </c>
      <c r="O268" s="162">
        <f>IF(Главная!$P$9="Дол.",BC268,IF(Главная!$P$9="гривен.",AU268,IF(Главная!$P$9="рублей.",AN268,AU268)))</f>
        <v>2.59</v>
      </c>
      <c r="P268" s="141">
        <v>2.12</v>
      </c>
      <c r="Q268" s="141">
        <v>2.12</v>
      </c>
      <c r="AP268" s="144" t="s">
        <v>2253</v>
      </c>
      <c r="AQ268" s="141">
        <v>2.59</v>
      </c>
      <c r="AR268" s="141">
        <v>2.59</v>
      </c>
      <c r="AS268" s="141">
        <v>2.59</v>
      </c>
      <c r="AT268" s="141">
        <v>2.59</v>
      </c>
      <c r="AU268" s="141">
        <v>2.59</v>
      </c>
      <c r="AV268" s="141">
        <v>2.59</v>
      </c>
      <c r="AW268" s="141">
        <v>2.59</v>
      </c>
      <c r="AX268" s="126" t="s">
        <v>2585</v>
      </c>
    </row>
    <row r="269" spans="1:50" s="140" customFormat="1" ht="12.75" customHeight="1">
      <c r="A269" s="150" t="str">
        <f>IF(Главная!$P$9="Дол.",AX269,IF(Главная!$P$9="гривен.",AP269,IF(Главная!$P$9="рублей.",AI269,AP269)))</f>
        <v>Сватово</v>
      </c>
      <c r="B269" s="141">
        <v>2.12</v>
      </c>
      <c r="J269" s="141">
        <v>2.12</v>
      </c>
      <c r="K269" s="162">
        <f>IF(Главная!$P$9="Дол.",AY269,IF(Главная!$P$9="гривен.",AQ269,IF(Главная!$P$9="рублей.",AJ269,AQ269)))</f>
        <v>2.23</v>
      </c>
      <c r="L269" s="162">
        <f>IF(Главная!$P$9="Дол.",AZ269,IF(Главная!$P$9="гривен.",AR269,IF(Главная!$P$9="рублей.",AK269,AR269)))</f>
        <v>2.23</v>
      </c>
      <c r="M269" s="162">
        <f>IF(Главная!$P$9="Дол.",BA269,IF(Главная!$P$9="гривен.",AS269,IF(Главная!$P$9="рублей.",AL269,AS269)))</f>
        <v>2.23</v>
      </c>
      <c r="N269" s="162">
        <f>IF(Главная!$P$9="Дол.",BB269,IF(Главная!$P$9="гривен.",AT269,IF(Главная!$P$9="рублей.",AM269,AT269)))</f>
        <v>2.23</v>
      </c>
      <c r="O269" s="162">
        <f>IF(Главная!$P$9="Дол.",BC269,IF(Главная!$P$9="гривен.",AU269,IF(Главная!$P$9="рублей.",AN269,AU269)))</f>
        <v>2.23</v>
      </c>
      <c r="P269" s="141">
        <v>2.12</v>
      </c>
      <c r="Q269" s="141">
        <v>2.12</v>
      </c>
      <c r="AP269" s="144" t="s">
        <v>2252</v>
      </c>
      <c r="AQ269" s="141">
        <v>2.23</v>
      </c>
      <c r="AR269" s="141">
        <v>2.23</v>
      </c>
      <c r="AS269" s="141">
        <v>2.23</v>
      </c>
      <c r="AT269" s="141">
        <v>2.23</v>
      </c>
      <c r="AU269" s="141">
        <v>2.23</v>
      </c>
      <c r="AV269" s="141">
        <v>2.23</v>
      </c>
      <c r="AW269" s="141">
        <v>2.23</v>
      </c>
      <c r="AX269" s="126" t="s">
        <v>2586</v>
      </c>
    </row>
    <row r="270" spans="1:50" s="140" customFormat="1" ht="12.75" customHeight="1">
      <c r="A270" s="150" t="str">
        <f>IF(Главная!$P$9="Дол.",AX270,IF(Главная!$P$9="гривен.",AP270,IF(Главная!$P$9="рублей.",AI270,AP270)))</f>
        <v>Свердловск</v>
      </c>
      <c r="B270" s="141">
        <v>1.21</v>
      </c>
      <c r="J270" s="141">
        <v>1.21</v>
      </c>
      <c r="K270" s="162">
        <f>IF(Главная!$P$9="Дол.",AY270,IF(Главная!$P$9="гривен.",AQ270,IF(Главная!$P$9="рублей.",AJ270,AQ270)))</f>
        <v>2.95</v>
      </c>
      <c r="L270" s="162">
        <f>IF(Главная!$P$9="Дол.",AZ270,IF(Главная!$P$9="гривен.",AR270,IF(Главная!$P$9="рублей.",AK270,AR270)))</f>
        <v>2.95</v>
      </c>
      <c r="M270" s="162">
        <f>IF(Главная!$P$9="Дол.",BA270,IF(Главная!$P$9="гривен.",AS270,IF(Главная!$P$9="рублей.",AL270,AS270)))</f>
        <v>2.95</v>
      </c>
      <c r="N270" s="162">
        <f>IF(Главная!$P$9="Дол.",BB270,IF(Главная!$P$9="гривен.",AT270,IF(Главная!$P$9="рублей.",AM270,AT270)))</f>
        <v>2.95</v>
      </c>
      <c r="O270" s="162">
        <f>IF(Главная!$P$9="Дол.",BC270,IF(Главная!$P$9="гривен.",AU270,IF(Главная!$P$9="рублей.",AN270,AU270)))</f>
        <v>2.95</v>
      </c>
      <c r="P270" s="141">
        <v>1.21</v>
      </c>
      <c r="Q270" s="141">
        <v>1.21</v>
      </c>
      <c r="AP270" s="144" t="s">
        <v>2251</v>
      </c>
      <c r="AQ270" s="141">
        <v>2.95</v>
      </c>
      <c r="AR270" s="141">
        <v>2.95</v>
      </c>
      <c r="AS270" s="141">
        <v>2.95</v>
      </c>
      <c r="AT270" s="141">
        <v>2.95</v>
      </c>
      <c r="AU270" s="141">
        <v>2.95</v>
      </c>
      <c r="AV270" s="141">
        <v>2.95</v>
      </c>
      <c r="AW270" s="141">
        <v>2.95</v>
      </c>
      <c r="AX270" s="126" t="s">
        <v>2587</v>
      </c>
    </row>
    <row r="271" spans="1:50" s="140" customFormat="1" ht="12.75" customHeight="1">
      <c r="A271" s="150" t="str">
        <f>IF(Главная!$P$9="Дол.",AX271,IF(Главная!$P$9="гривен.",AP271,IF(Главная!$P$9="рублей.",AI271,AP271)))</f>
        <v>Светловодск</v>
      </c>
      <c r="B271" s="141">
        <v>1.21</v>
      </c>
      <c r="J271" s="141">
        <v>1.21</v>
      </c>
      <c r="K271" s="162">
        <f>IF(Главная!$P$9="Дол.",AY271,IF(Главная!$P$9="гривен.",AQ271,IF(Главная!$P$9="рублей.",AJ271,AQ271)))</f>
        <v>1.21</v>
      </c>
      <c r="L271" s="162">
        <f>IF(Главная!$P$9="Дол.",AZ271,IF(Главная!$P$9="гривен.",AR271,IF(Главная!$P$9="рублей.",AK271,AR271)))</f>
        <v>1.21</v>
      </c>
      <c r="M271" s="162">
        <f>IF(Главная!$P$9="Дол.",BA271,IF(Главная!$P$9="гривен.",AS271,IF(Главная!$P$9="рублей.",AL271,AS271)))</f>
        <v>1.21</v>
      </c>
      <c r="N271" s="162">
        <f>IF(Главная!$P$9="Дол.",BB271,IF(Главная!$P$9="гривен.",AT271,IF(Главная!$P$9="рублей.",AM271,AT271)))</f>
        <v>1.21</v>
      </c>
      <c r="O271" s="162">
        <f>IF(Главная!$P$9="Дол.",BC271,IF(Главная!$P$9="гривен.",AU271,IF(Главная!$P$9="рублей.",AN271,AU271)))</f>
        <v>1.21</v>
      </c>
      <c r="P271" s="141">
        <v>1.21</v>
      </c>
      <c r="Q271" s="141">
        <v>1.21</v>
      </c>
      <c r="AP271" s="144" t="s">
        <v>2250</v>
      </c>
      <c r="AQ271" s="141">
        <v>1.21</v>
      </c>
      <c r="AR271" s="141">
        <v>1.21</v>
      </c>
      <c r="AS271" s="141">
        <v>1.21</v>
      </c>
      <c r="AT271" s="141">
        <v>1.21</v>
      </c>
      <c r="AU271" s="141">
        <v>1.21</v>
      </c>
      <c r="AV271" s="141">
        <v>1.21</v>
      </c>
      <c r="AW271" s="141">
        <v>1.21</v>
      </c>
      <c r="AX271" s="126" t="s">
        <v>2588</v>
      </c>
    </row>
    <row r="272" spans="1:50" s="140" customFormat="1" ht="12.75" customHeight="1">
      <c r="A272" s="150" t="str">
        <f>IF(Главная!$P$9="Дол.",AX272,IF(Главная!$P$9="гривен.",AP272,IF(Главная!$P$9="рублей.",AI272,AP272)))</f>
        <v>Севастополь</v>
      </c>
      <c r="B272" s="141">
        <v>2.95</v>
      </c>
      <c r="J272" s="141">
        <v>2.95</v>
      </c>
      <c r="K272" s="162">
        <f>IF(Главная!$P$9="Дол.",AY272,IF(Главная!$P$9="гривен.",AQ272,IF(Главная!$P$9="рублей.",AJ272,AQ272)))</f>
        <v>12</v>
      </c>
      <c r="L272" s="162">
        <f>IF(Главная!$P$9="Дол.",AZ272,IF(Главная!$P$9="гривен.",AR272,IF(Главная!$P$9="рублей.",AK272,AR272)))</f>
        <v>12</v>
      </c>
      <c r="M272" s="162">
        <f>IF(Главная!$P$9="Дол.",BA272,IF(Главная!$P$9="гривен.",AS272,IF(Главная!$P$9="рублей.",AL272,AS272)))</f>
        <v>12</v>
      </c>
      <c r="N272" s="162">
        <f>IF(Главная!$P$9="Дол.",BB272,IF(Главная!$P$9="гривен.",AT272,IF(Главная!$P$9="рублей.",AM272,AT272)))</f>
        <v>12</v>
      </c>
      <c r="O272" s="162">
        <f>IF(Главная!$P$9="Дол.",BC272,IF(Главная!$P$9="гривен.",AU272,IF(Главная!$P$9="рублей.",AN272,AU272)))</f>
        <v>12</v>
      </c>
      <c r="P272" s="141">
        <v>2.95</v>
      </c>
      <c r="Q272" s="141">
        <v>2.95</v>
      </c>
      <c r="AP272" s="144" t="s">
        <v>2249</v>
      </c>
      <c r="AQ272" s="141">
        <v>12</v>
      </c>
      <c r="AR272" s="141">
        <v>12</v>
      </c>
      <c r="AS272" s="141">
        <v>12</v>
      </c>
      <c r="AT272" s="141">
        <v>12</v>
      </c>
      <c r="AU272" s="141">
        <v>12</v>
      </c>
      <c r="AV272" s="141">
        <v>12</v>
      </c>
      <c r="AW272" s="141">
        <v>12</v>
      </c>
      <c r="AX272" s="126" t="s">
        <v>2589</v>
      </c>
    </row>
    <row r="273" spans="1:50" s="140" customFormat="1" ht="12.75" customHeight="1">
      <c r="A273" s="150" t="str">
        <f>IF(Главная!$P$9="Дол.",AX273,IF(Главная!$P$9="гривен.",AP273,IF(Главная!$P$9="рублей.",AI273,AP273)))</f>
        <v>Северодонецк</v>
      </c>
      <c r="B273" s="141">
        <v>2.12</v>
      </c>
      <c r="J273" s="141">
        <v>2.12</v>
      </c>
      <c r="K273" s="162">
        <f>IF(Главная!$P$9="Дол.",AY273,IF(Главная!$P$9="гривен.",AQ273,IF(Главная!$P$9="рублей.",AJ273,AQ273)))</f>
        <v>1.86</v>
      </c>
      <c r="L273" s="162">
        <f>IF(Главная!$P$9="Дол.",AZ273,IF(Главная!$P$9="гривен.",AR273,IF(Главная!$P$9="рублей.",AK273,AR273)))</f>
        <v>1.86</v>
      </c>
      <c r="M273" s="162">
        <f>IF(Главная!$P$9="Дол.",BA273,IF(Главная!$P$9="гривен.",AS273,IF(Главная!$P$9="рублей.",AL273,AS273)))</f>
        <v>1.86</v>
      </c>
      <c r="N273" s="162">
        <f>IF(Главная!$P$9="Дол.",BB273,IF(Главная!$P$9="гривен.",AT273,IF(Главная!$P$9="рублей.",AM273,AT273)))</f>
        <v>1.86</v>
      </c>
      <c r="O273" s="162">
        <f>IF(Главная!$P$9="Дол.",BC273,IF(Главная!$P$9="гривен.",AU273,IF(Главная!$P$9="рублей.",AN273,AU273)))</f>
        <v>1.86</v>
      </c>
      <c r="P273" s="141">
        <v>2.12</v>
      </c>
      <c r="Q273" s="141">
        <v>2.12</v>
      </c>
      <c r="AP273" s="144" t="s">
        <v>2248</v>
      </c>
      <c r="AQ273" s="141">
        <v>1.86</v>
      </c>
      <c r="AR273" s="141">
        <v>1.86</v>
      </c>
      <c r="AS273" s="141">
        <v>1.86</v>
      </c>
      <c r="AT273" s="141">
        <v>1.86</v>
      </c>
      <c r="AU273" s="141">
        <v>1.86</v>
      </c>
      <c r="AV273" s="141">
        <v>1.86</v>
      </c>
      <c r="AW273" s="141">
        <v>1.86</v>
      </c>
      <c r="AX273" s="126" t="s">
        <v>2590</v>
      </c>
    </row>
    <row r="274" spans="1:50" s="140" customFormat="1" ht="12.75" customHeight="1">
      <c r="A274" s="150" t="str">
        <f>IF(Главная!$P$9="Дол.",AX274,IF(Главная!$P$9="гривен.",AP274,IF(Главная!$P$9="рублей.",AI274,AP274)))</f>
        <v>Селидово</v>
      </c>
      <c r="B274" s="141">
        <v>1.74</v>
      </c>
      <c r="J274" s="141">
        <v>1.74</v>
      </c>
      <c r="K274" s="162">
        <f>IF(Главная!$P$9="Дол.",AY274,IF(Главная!$P$9="гривен.",AQ274,IF(Главная!$P$9="рублей.",AJ274,AQ274)))</f>
        <v>1.86</v>
      </c>
      <c r="L274" s="162">
        <f>IF(Главная!$P$9="Дол.",AZ274,IF(Главная!$P$9="гривен.",AR274,IF(Главная!$P$9="рублей.",AK274,AR274)))</f>
        <v>1.86</v>
      </c>
      <c r="M274" s="162">
        <f>IF(Главная!$P$9="Дол.",BA274,IF(Главная!$P$9="гривен.",AS274,IF(Главная!$P$9="рублей.",AL274,AS274)))</f>
        <v>1.86</v>
      </c>
      <c r="N274" s="162">
        <f>IF(Главная!$P$9="Дол.",BB274,IF(Главная!$P$9="гривен.",AT274,IF(Главная!$P$9="рублей.",AM274,AT274)))</f>
        <v>1.86</v>
      </c>
      <c r="O274" s="162">
        <f>IF(Главная!$P$9="Дол.",BC274,IF(Главная!$P$9="гривен.",AU274,IF(Главная!$P$9="рублей.",AN274,AU274)))</f>
        <v>1.86</v>
      </c>
      <c r="P274" s="141">
        <v>1.74</v>
      </c>
      <c r="Q274" s="141">
        <v>1.74</v>
      </c>
      <c r="AP274" s="144" t="s">
        <v>2247</v>
      </c>
      <c r="AQ274" s="141">
        <v>1.86</v>
      </c>
      <c r="AR274" s="141">
        <v>1.86</v>
      </c>
      <c r="AS274" s="141">
        <v>1.86</v>
      </c>
      <c r="AT274" s="141">
        <v>1.86</v>
      </c>
      <c r="AU274" s="141">
        <v>1.86</v>
      </c>
      <c r="AV274" s="141">
        <v>1.86</v>
      </c>
      <c r="AW274" s="141">
        <v>1.86</v>
      </c>
      <c r="AX274" s="126" t="s">
        <v>2583</v>
      </c>
    </row>
    <row r="275" spans="1:50" s="140" customFormat="1" ht="12.75" customHeight="1">
      <c r="A275" s="150" t="str">
        <f>IF(Главная!$P$9="Дол.",AX275,IF(Главная!$P$9="гривен.",AP275,IF(Главная!$P$9="рублей.",AI275,AP275)))</f>
        <v>Симферополь</v>
      </c>
      <c r="B275" s="141">
        <v>1.21</v>
      </c>
      <c r="J275" s="141">
        <v>1.21</v>
      </c>
      <c r="K275" s="162">
        <f>IF(Главная!$P$9="Дол.",AY275,IF(Главная!$P$9="гривен.",AQ275,IF(Главная!$P$9="рублей.",AJ275,AQ275)))</f>
        <v>12</v>
      </c>
      <c r="L275" s="162">
        <f>IF(Главная!$P$9="Дол.",AZ275,IF(Главная!$P$9="гривен.",AR275,IF(Главная!$P$9="рублей.",AK275,AR275)))</f>
        <v>12</v>
      </c>
      <c r="M275" s="162">
        <f>IF(Главная!$P$9="Дол.",BA275,IF(Главная!$P$9="гривен.",AS275,IF(Главная!$P$9="рублей.",AL275,AS275)))</f>
        <v>12</v>
      </c>
      <c r="N275" s="162">
        <f>IF(Главная!$P$9="Дол.",BB275,IF(Главная!$P$9="гривен.",AT275,IF(Главная!$P$9="рублей.",AM275,AT275)))</f>
        <v>12</v>
      </c>
      <c r="O275" s="162">
        <f>IF(Главная!$P$9="Дол.",BC275,IF(Главная!$P$9="гривен.",AU275,IF(Главная!$P$9="рублей.",AN275,AU275)))</f>
        <v>12</v>
      </c>
      <c r="P275" s="141">
        <v>1.21</v>
      </c>
      <c r="Q275" s="141">
        <v>1.21</v>
      </c>
      <c r="AP275" s="144" t="s">
        <v>2246</v>
      </c>
      <c r="AQ275" s="141">
        <v>12</v>
      </c>
      <c r="AR275" s="141">
        <v>12</v>
      </c>
      <c r="AS275" s="141">
        <v>12</v>
      </c>
      <c r="AT275" s="141">
        <v>12</v>
      </c>
      <c r="AU275" s="141">
        <v>12</v>
      </c>
      <c r="AV275" s="141">
        <v>12</v>
      </c>
      <c r="AW275" s="141">
        <v>12</v>
      </c>
      <c r="AX275" s="126" t="s">
        <v>2584</v>
      </c>
    </row>
    <row r="276" spans="1:50" s="140" customFormat="1" ht="12.75" customHeight="1">
      <c r="A276" s="150" t="str">
        <f>IF(Главная!$P$9="Дол.",AX276,IF(Главная!$P$9="гривен.",AP276,IF(Главная!$P$9="рублей.",AI276,AP276)))</f>
        <v>Синельниково</v>
      </c>
      <c r="B276" s="141">
        <v>1.74</v>
      </c>
      <c r="J276" s="141">
        <v>1.74</v>
      </c>
      <c r="K276" s="162">
        <f>IF(Главная!$P$9="Дол.",AY276,IF(Главная!$P$9="гривен.",AQ276,IF(Главная!$P$9="рублей.",AJ276,AQ276)))</f>
        <v>2.12</v>
      </c>
      <c r="L276" s="162">
        <f>IF(Главная!$P$9="Дол.",AZ276,IF(Главная!$P$9="гривен.",AR276,IF(Главная!$P$9="рублей.",AK276,AR276)))</f>
        <v>2.12</v>
      </c>
      <c r="M276" s="162">
        <f>IF(Главная!$P$9="Дол.",BA276,IF(Главная!$P$9="гривен.",AS276,IF(Главная!$P$9="рублей.",AL276,AS276)))</f>
        <v>2.12</v>
      </c>
      <c r="N276" s="162">
        <f>IF(Главная!$P$9="Дол.",BB276,IF(Главная!$P$9="гривен.",AT276,IF(Главная!$P$9="рублей.",AM276,AT276)))</f>
        <v>2.12</v>
      </c>
      <c r="O276" s="162">
        <f>IF(Главная!$P$9="Дол.",BC276,IF(Главная!$P$9="гривен.",AU276,IF(Главная!$P$9="рублей.",AN276,AU276)))</f>
        <v>2.12</v>
      </c>
      <c r="P276" s="141">
        <v>1.74</v>
      </c>
      <c r="Q276" s="141">
        <v>1.74</v>
      </c>
      <c r="AP276" s="144" t="s">
        <v>2245</v>
      </c>
      <c r="AQ276" s="141">
        <v>2.12</v>
      </c>
      <c r="AR276" s="141">
        <v>2.12</v>
      </c>
      <c r="AS276" s="141">
        <v>2.12</v>
      </c>
      <c r="AT276" s="141">
        <v>2.12</v>
      </c>
      <c r="AU276" s="141">
        <v>2.12</v>
      </c>
      <c r="AV276" s="141">
        <v>2.12</v>
      </c>
      <c r="AW276" s="141">
        <v>2.12</v>
      </c>
      <c r="AX276" s="126" t="s">
        <v>2585</v>
      </c>
    </row>
    <row r="277" spans="1:50" s="140" customFormat="1" ht="12.75" customHeight="1">
      <c r="A277" s="150" t="str">
        <f>IF(Главная!$P$9="Дол.",AX277,IF(Главная!$P$9="гривен.",AP277,IF(Главная!$P$9="рублей.",AI277,AP277)))</f>
        <v>Скадовск</v>
      </c>
      <c r="B277" s="141">
        <v>2.23</v>
      </c>
      <c r="J277" s="141">
        <v>2.23</v>
      </c>
      <c r="K277" s="162">
        <f>IF(Главная!$P$9="Дол.",AY277,IF(Главная!$P$9="гривен.",AQ277,IF(Главная!$P$9="рублей.",AJ277,AQ277)))</f>
        <v>1.86</v>
      </c>
      <c r="L277" s="162">
        <f>IF(Главная!$P$9="Дол.",AZ277,IF(Главная!$P$9="гривен.",AR277,IF(Главная!$P$9="рублей.",AK277,AR277)))</f>
        <v>1.86</v>
      </c>
      <c r="M277" s="162">
        <f>IF(Главная!$P$9="Дол.",BA277,IF(Главная!$P$9="гривен.",AS277,IF(Главная!$P$9="рублей.",AL277,AS277)))</f>
        <v>1.86</v>
      </c>
      <c r="N277" s="162">
        <f>IF(Главная!$P$9="Дол.",BB277,IF(Главная!$P$9="гривен.",AT277,IF(Главная!$P$9="рублей.",AM277,AT277)))</f>
        <v>1.86</v>
      </c>
      <c r="O277" s="162">
        <f>IF(Главная!$P$9="Дол.",BC277,IF(Главная!$P$9="гривен.",AU277,IF(Главная!$P$9="рублей.",AN277,AU277)))</f>
        <v>1.86</v>
      </c>
      <c r="P277" s="141">
        <v>2.23</v>
      </c>
      <c r="Q277" s="141">
        <v>2.23</v>
      </c>
      <c r="AP277" s="144" t="s">
        <v>2244</v>
      </c>
      <c r="AQ277" s="141">
        <v>1.86</v>
      </c>
      <c r="AR277" s="141">
        <v>1.86</v>
      </c>
      <c r="AS277" s="141">
        <v>1.86</v>
      </c>
      <c r="AT277" s="141">
        <v>1.86</v>
      </c>
      <c r="AU277" s="141">
        <v>1.86</v>
      </c>
      <c r="AV277" s="141">
        <v>1.86</v>
      </c>
      <c r="AW277" s="141">
        <v>1.86</v>
      </c>
      <c r="AX277" s="126" t="s">
        <v>2586</v>
      </c>
    </row>
    <row r="278" spans="1:50" s="140" customFormat="1" ht="12.75" customHeight="1">
      <c r="A278" s="150" t="str">
        <f>IF(Главная!$P$9="Дол.",AX278,IF(Главная!$P$9="гривен.",AP278,IF(Главная!$P$9="рублей.",AI278,AP278)))</f>
        <v>Сквира</v>
      </c>
      <c r="B278" s="141">
        <v>2.12</v>
      </c>
      <c r="J278" s="141">
        <v>2.12</v>
      </c>
      <c r="K278" s="162">
        <f>IF(Главная!$P$9="Дол.",AY278,IF(Главная!$P$9="гривен.",AQ278,IF(Главная!$P$9="рублей.",AJ278,AQ278)))</f>
        <v>1.86</v>
      </c>
      <c r="L278" s="162">
        <f>IF(Главная!$P$9="Дол.",AZ278,IF(Главная!$P$9="гривен.",AR278,IF(Главная!$P$9="рублей.",AK278,AR278)))</f>
        <v>1.86</v>
      </c>
      <c r="M278" s="162">
        <f>IF(Главная!$P$9="Дол.",BA278,IF(Главная!$P$9="гривен.",AS278,IF(Главная!$P$9="рублей.",AL278,AS278)))</f>
        <v>1.86</v>
      </c>
      <c r="N278" s="162">
        <f>IF(Главная!$P$9="Дол.",BB278,IF(Главная!$P$9="гривен.",AT278,IF(Главная!$P$9="рублей.",AM278,AT278)))</f>
        <v>1.86</v>
      </c>
      <c r="O278" s="162">
        <f>IF(Главная!$P$9="Дол.",BC278,IF(Главная!$P$9="гривен.",AU278,IF(Главная!$P$9="рублей.",AN278,AU278)))</f>
        <v>1.86</v>
      </c>
      <c r="P278" s="141">
        <v>2.12</v>
      </c>
      <c r="Q278" s="141">
        <v>2.12</v>
      </c>
      <c r="AP278" s="144" t="s">
        <v>2243</v>
      </c>
      <c r="AQ278" s="141">
        <v>1.86</v>
      </c>
      <c r="AR278" s="141">
        <v>1.86</v>
      </c>
      <c r="AS278" s="141">
        <v>1.86</v>
      </c>
      <c r="AT278" s="141">
        <v>1.86</v>
      </c>
      <c r="AU278" s="141">
        <v>1.86</v>
      </c>
      <c r="AV278" s="141">
        <v>1.86</v>
      </c>
      <c r="AW278" s="141">
        <v>1.86</v>
      </c>
      <c r="AX278" s="126" t="s">
        <v>2587</v>
      </c>
    </row>
    <row r="279" spans="1:50" s="140" customFormat="1" ht="12.75" customHeight="1">
      <c r="A279" s="150" t="str">
        <f>IF(Главная!$P$9="Дол.",AX279,IF(Главная!$P$9="гривен.",AP279,IF(Главная!$P$9="рублей.",AI279,AP279)))</f>
        <v>Славута</v>
      </c>
      <c r="B279" s="141">
        <v>2.12</v>
      </c>
      <c r="J279" s="141">
        <v>2.12</v>
      </c>
      <c r="K279" s="162">
        <f>IF(Главная!$P$9="Дол.",AY279,IF(Главная!$P$9="гривен.",AQ279,IF(Главная!$P$9="рублей.",AJ279,AQ279)))</f>
        <v>2.12</v>
      </c>
      <c r="L279" s="162">
        <f>IF(Главная!$P$9="Дол.",AZ279,IF(Главная!$P$9="гривен.",AR279,IF(Главная!$P$9="рублей.",AK279,AR279)))</f>
        <v>2.12</v>
      </c>
      <c r="M279" s="162">
        <f>IF(Главная!$P$9="Дол.",BA279,IF(Главная!$P$9="гривен.",AS279,IF(Главная!$P$9="рублей.",AL279,AS279)))</f>
        <v>2.12</v>
      </c>
      <c r="N279" s="162">
        <f>IF(Главная!$P$9="Дол.",BB279,IF(Главная!$P$9="гривен.",AT279,IF(Главная!$P$9="рублей.",AM279,AT279)))</f>
        <v>2.12</v>
      </c>
      <c r="O279" s="162">
        <f>IF(Главная!$P$9="Дол.",BC279,IF(Главная!$P$9="гривен.",AU279,IF(Главная!$P$9="рублей.",AN279,AU279)))</f>
        <v>2.12</v>
      </c>
      <c r="P279" s="141">
        <v>2.12</v>
      </c>
      <c r="Q279" s="141">
        <v>2.12</v>
      </c>
      <c r="AP279" s="144" t="s">
        <v>2242</v>
      </c>
      <c r="AQ279" s="141">
        <v>2.12</v>
      </c>
      <c r="AR279" s="141">
        <v>2.12</v>
      </c>
      <c r="AS279" s="141">
        <v>2.12</v>
      </c>
      <c r="AT279" s="141">
        <v>2.12</v>
      </c>
      <c r="AU279" s="141">
        <v>2.12</v>
      </c>
      <c r="AV279" s="141">
        <v>2.12</v>
      </c>
      <c r="AW279" s="141">
        <v>2.12</v>
      </c>
      <c r="AX279" s="126" t="s">
        <v>2588</v>
      </c>
    </row>
    <row r="280" spans="1:50" s="140" customFormat="1" ht="12.75" customHeight="1">
      <c r="A280" s="150" t="str">
        <f>IF(Главная!$P$9="Дол.",AX280,IF(Главная!$P$9="гривен.",AP280,IF(Главная!$P$9="рублей.",AI280,AP280)))</f>
        <v>Славутич</v>
      </c>
      <c r="B280" s="141">
        <v>2.23</v>
      </c>
      <c r="J280" s="141">
        <v>2.23</v>
      </c>
      <c r="K280" s="162">
        <f>IF(Главная!$P$9="Дол.",AY280,IF(Главная!$P$9="гривен.",AQ280,IF(Главная!$P$9="рублей.",AJ280,AQ280)))</f>
        <v>1.74</v>
      </c>
      <c r="L280" s="162">
        <f>IF(Главная!$P$9="Дол.",AZ280,IF(Главная!$P$9="гривен.",AR280,IF(Главная!$P$9="рублей.",AK280,AR280)))</f>
        <v>1.74</v>
      </c>
      <c r="M280" s="162">
        <f>IF(Главная!$P$9="Дол.",BA280,IF(Главная!$P$9="гривен.",AS280,IF(Главная!$P$9="рублей.",AL280,AS280)))</f>
        <v>1.74</v>
      </c>
      <c r="N280" s="162">
        <f>IF(Главная!$P$9="Дол.",BB280,IF(Главная!$P$9="гривен.",AT280,IF(Главная!$P$9="рублей.",AM280,AT280)))</f>
        <v>1.74</v>
      </c>
      <c r="O280" s="162">
        <f>IF(Главная!$P$9="Дол.",BC280,IF(Главная!$P$9="гривен.",AU280,IF(Главная!$P$9="рублей.",AN280,AU280)))</f>
        <v>1.74</v>
      </c>
      <c r="P280" s="141">
        <v>2.23</v>
      </c>
      <c r="Q280" s="141">
        <v>2.23</v>
      </c>
      <c r="AP280" s="144" t="s">
        <v>2241</v>
      </c>
      <c r="AQ280" s="141">
        <v>1.74</v>
      </c>
      <c r="AR280" s="141">
        <v>1.74</v>
      </c>
      <c r="AS280" s="141">
        <v>1.74</v>
      </c>
      <c r="AT280" s="141">
        <v>1.74</v>
      </c>
      <c r="AU280" s="141">
        <v>1.74</v>
      </c>
      <c r="AV280" s="141">
        <v>1.74</v>
      </c>
      <c r="AW280" s="141">
        <v>1.74</v>
      </c>
      <c r="AX280" s="126" t="s">
        <v>2589</v>
      </c>
    </row>
    <row r="281" spans="1:50" s="140" customFormat="1" ht="12.75" customHeight="1">
      <c r="A281" s="150" t="str">
        <f>IF(Главная!$P$9="Дол.",AX281,IF(Главная!$P$9="гривен.",AP281,IF(Главная!$P$9="рублей.",AI281,AP281)))</f>
        <v>Славянск</v>
      </c>
      <c r="B281" s="141">
        <v>2.12</v>
      </c>
      <c r="J281" s="141">
        <v>2.12</v>
      </c>
      <c r="K281" s="162">
        <f>IF(Главная!$P$9="Дол.",AY281,IF(Главная!$P$9="гривен.",AQ281,IF(Главная!$P$9="рублей.",AJ281,AQ281)))</f>
        <v>1.86</v>
      </c>
      <c r="L281" s="162">
        <f>IF(Главная!$P$9="Дол.",AZ281,IF(Главная!$P$9="гривен.",AR281,IF(Главная!$P$9="рублей.",AK281,AR281)))</f>
        <v>1.86</v>
      </c>
      <c r="M281" s="162">
        <f>IF(Главная!$P$9="Дол.",BA281,IF(Главная!$P$9="гривен.",AS281,IF(Главная!$P$9="рублей.",AL281,AS281)))</f>
        <v>1.86</v>
      </c>
      <c r="N281" s="162">
        <f>IF(Главная!$P$9="Дол.",BB281,IF(Главная!$P$9="гривен.",AT281,IF(Главная!$P$9="рублей.",AM281,AT281)))</f>
        <v>1.86</v>
      </c>
      <c r="O281" s="162">
        <f>IF(Главная!$P$9="Дол.",BC281,IF(Главная!$P$9="гривен.",AU281,IF(Главная!$P$9="рублей.",AN281,AU281)))</f>
        <v>1.86</v>
      </c>
      <c r="P281" s="141">
        <v>2.12</v>
      </c>
      <c r="Q281" s="141">
        <v>2.12</v>
      </c>
      <c r="AP281" s="144" t="s">
        <v>2240</v>
      </c>
      <c r="AQ281" s="141">
        <v>1.86</v>
      </c>
      <c r="AR281" s="141">
        <v>1.86</v>
      </c>
      <c r="AS281" s="141">
        <v>1.86</v>
      </c>
      <c r="AT281" s="141">
        <v>1.86</v>
      </c>
      <c r="AU281" s="141">
        <v>1.86</v>
      </c>
      <c r="AV281" s="141">
        <v>1.86</v>
      </c>
      <c r="AW281" s="141">
        <v>1.86</v>
      </c>
      <c r="AX281" s="126" t="s">
        <v>2590</v>
      </c>
    </row>
    <row r="282" spans="1:50" s="140" customFormat="1" ht="12.75" customHeight="1">
      <c r="A282" s="150" t="str">
        <f>IF(Главная!$P$9="Дол.",AX282,IF(Главная!$P$9="гривен.",AP282,IF(Главная!$P$9="рублей.",AI282,AP282)))</f>
        <v>Смела</v>
      </c>
      <c r="B282" s="141">
        <v>1.86</v>
      </c>
      <c r="J282" s="141">
        <v>1.86</v>
      </c>
      <c r="K282" s="162">
        <f>IF(Главная!$P$9="Дол.",AY282,IF(Главная!$P$9="гривен.",AQ282,IF(Главная!$P$9="рублей.",AJ282,AQ282)))</f>
        <v>1.21</v>
      </c>
      <c r="L282" s="162">
        <f>IF(Главная!$P$9="Дол.",AZ282,IF(Главная!$P$9="гривен.",AR282,IF(Главная!$P$9="рублей.",AK282,AR282)))</f>
        <v>1.21</v>
      </c>
      <c r="M282" s="162">
        <f>IF(Главная!$P$9="Дол.",BA282,IF(Главная!$P$9="гривен.",AS282,IF(Главная!$P$9="рублей.",AL282,AS282)))</f>
        <v>1.21</v>
      </c>
      <c r="N282" s="162">
        <f>IF(Главная!$P$9="Дол.",BB282,IF(Главная!$P$9="гривен.",AT282,IF(Главная!$P$9="рублей.",AM282,AT282)))</f>
        <v>1.21</v>
      </c>
      <c r="O282" s="162">
        <f>IF(Главная!$P$9="Дол.",BC282,IF(Главная!$P$9="гривен.",AU282,IF(Главная!$P$9="рублей.",AN282,AU282)))</f>
        <v>1.21</v>
      </c>
      <c r="P282" s="141">
        <v>1.86</v>
      </c>
      <c r="Q282" s="141">
        <v>1.86</v>
      </c>
      <c r="AP282" s="144" t="s">
        <v>2239</v>
      </c>
      <c r="AQ282" s="141">
        <v>1.21</v>
      </c>
      <c r="AR282" s="141">
        <v>1.21</v>
      </c>
      <c r="AS282" s="141">
        <v>1.21</v>
      </c>
      <c r="AT282" s="141">
        <v>1.21</v>
      </c>
      <c r="AU282" s="141">
        <v>1.21</v>
      </c>
      <c r="AV282" s="141">
        <v>1.21</v>
      </c>
      <c r="AW282" s="141">
        <v>1.21</v>
      </c>
      <c r="AX282" s="126" t="s">
        <v>2583</v>
      </c>
    </row>
    <row r="283" spans="1:50" s="140" customFormat="1" ht="12.75" customHeight="1">
      <c r="A283" s="150" t="str">
        <f>IF(Главная!$P$9="Дол.",AX283,IF(Главная!$P$9="гривен.",AP283,IF(Главная!$P$9="рублей.",AI283,AP283)))</f>
        <v>Снежное</v>
      </c>
      <c r="B283" s="141">
        <v>1.21</v>
      </c>
      <c r="J283" s="141">
        <v>1.21</v>
      </c>
      <c r="K283" s="162">
        <f>IF(Главная!$P$9="Дол.",AY283,IF(Главная!$P$9="гривен.",AQ283,IF(Главная!$P$9="рублей.",AJ283,AQ283)))</f>
        <v>2.23</v>
      </c>
      <c r="L283" s="162">
        <f>IF(Главная!$P$9="Дол.",AZ283,IF(Главная!$P$9="гривен.",AR283,IF(Главная!$P$9="рублей.",AK283,AR283)))</f>
        <v>2.23</v>
      </c>
      <c r="M283" s="162">
        <f>IF(Главная!$P$9="Дол.",BA283,IF(Главная!$P$9="гривен.",AS283,IF(Главная!$P$9="рублей.",AL283,AS283)))</f>
        <v>2.23</v>
      </c>
      <c r="N283" s="162">
        <f>IF(Главная!$P$9="Дол.",BB283,IF(Главная!$P$9="гривен.",AT283,IF(Главная!$P$9="рублей.",AM283,AT283)))</f>
        <v>2.23</v>
      </c>
      <c r="O283" s="162">
        <f>IF(Главная!$P$9="Дол.",BC283,IF(Главная!$P$9="гривен.",AU283,IF(Главная!$P$9="рублей.",AN283,AU283)))</f>
        <v>2.23</v>
      </c>
      <c r="P283" s="141">
        <v>1.21</v>
      </c>
      <c r="Q283" s="141">
        <v>1.21</v>
      </c>
      <c r="AP283" s="144" t="s">
        <v>2238</v>
      </c>
      <c r="AQ283" s="141">
        <v>2.23</v>
      </c>
      <c r="AR283" s="141">
        <v>2.23</v>
      </c>
      <c r="AS283" s="141">
        <v>2.23</v>
      </c>
      <c r="AT283" s="141">
        <v>2.23</v>
      </c>
      <c r="AU283" s="141">
        <v>2.23</v>
      </c>
      <c r="AV283" s="141">
        <v>2.23</v>
      </c>
      <c r="AW283" s="141">
        <v>2.23</v>
      </c>
      <c r="AX283" s="126" t="s">
        <v>2584</v>
      </c>
    </row>
    <row r="284" spans="1:50" s="140" customFormat="1" ht="12.75" customHeight="1">
      <c r="A284" s="150" t="str">
        <f>IF(Главная!$P$9="Дол.",AX284,IF(Главная!$P$9="гривен.",AP284,IF(Главная!$P$9="рублей.",AI284,AP284)))</f>
        <v>Снятын</v>
      </c>
      <c r="B284" s="141">
        <v>2.23</v>
      </c>
      <c r="J284" s="141">
        <v>2.23</v>
      </c>
      <c r="K284" s="162">
        <f>IF(Главная!$P$9="Дол.",AY284,IF(Главная!$P$9="гривен.",AQ284,IF(Главная!$P$9="рублей.",AJ284,AQ284)))</f>
        <v>2.59</v>
      </c>
      <c r="L284" s="162">
        <f>IF(Главная!$P$9="Дол.",AZ284,IF(Главная!$P$9="гривен.",AR284,IF(Главная!$P$9="рублей.",AK284,AR284)))</f>
        <v>2.59</v>
      </c>
      <c r="M284" s="162">
        <f>IF(Главная!$P$9="Дол.",BA284,IF(Главная!$P$9="гривен.",AS284,IF(Главная!$P$9="рублей.",AL284,AS284)))</f>
        <v>2.59</v>
      </c>
      <c r="N284" s="162">
        <f>IF(Главная!$P$9="Дол.",BB284,IF(Главная!$P$9="гривен.",AT284,IF(Главная!$P$9="рублей.",AM284,AT284)))</f>
        <v>2.59</v>
      </c>
      <c r="O284" s="162">
        <f>IF(Главная!$P$9="Дол.",BC284,IF(Главная!$P$9="гривен.",AU284,IF(Главная!$P$9="рублей.",AN284,AU284)))</f>
        <v>2.59</v>
      </c>
      <c r="P284" s="141">
        <v>2.23</v>
      </c>
      <c r="Q284" s="141">
        <v>2.23</v>
      </c>
      <c r="AP284" s="144" t="s">
        <v>2237</v>
      </c>
      <c r="AQ284" s="141">
        <v>2.59</v>
      </c>
      <c r="AR284" s="141">
        <v>2.59</v>
      </c>
      <c r="AS284" s="141">
        <v>2.59</v>
      </c>
      <c r="AT284" s="141">
        <v>2.59</v>
      </c>
      <c r="AU284" s="141">
        <v>2.59</v>
      </c>
      <c r="AV284" s="141">
        <v>2.59</v>
      </c>
      <c r="AW284" s="141">
        <v>2.59</v>
      </c>
      <c r="AX284" s="126" t="s">
        <v>2585</v>
      </c>
    </row>
    <row r="285" spans="1:50" s="140" customFormat="1" ht="12.75" customHeight="1">
      <c r="A285" s="150" t="str">
        <f>IF(Главная!$P$9="Дол.",AX285,IF(Главная!$P$9="гривен.",AP285,IF(Главная!$P$9="рублей.",AI285,AP285)))</f>
        <v>Соледар</v>
      </c>
      <c r="B285" s="141">
        <v>1.86</v>
      </c>
      <c r="J285" s="141">
        <v>1.86</v>
      </c>
      <c r="K285" s="162">
        <f>IF(Главная!$P$9="Дол.",AY285,IF(Главная!$P$9="гривен.",AQ285,IF(Главная!$P$9="рублей.",AJ285,AQ285)))</f>
        <v>2.12</v>
      </c>
      <c r="L285" s="162">
        <f>IF(Главная!$P$9="Дол.",AZ285,IF(Главная!$P$9="гривен.",AR285,IF(Главная!$P$9="рублей.",AK285,AR285)))</f>
        <v>2.12</v>
      </c>
      <c r="M285" s="162">
        <f>IF(Главная!$P$9="Дол.",BA285,IF(Главная!$P$9="гривен.",AS285,IF(Главная!$P$9="рублей.",AL285,AS285)))</f>
        <v>2.12</v>
      </c>
      <c r="N285" s="162">
        <f>IF(Главная!$P$9="Дол.",BB285,IF(Главная!$P$9="гривен.",AT285,IF(Главная!$P$9="рублей.",AM285,AT285)))</f>
        <v>2.12</v>
      </c>
      <c r="O285" s="162">
        <f>IF(Главная!$P$9="Дол.",BC285,IF(Главная!$P$9="гривен.",AU285,IF(Главная!$P$9="рублей.",AN285,AU285)))</f>
        <v>2.12</v>
      </c>
      <c r="P285" s="141">
        <v>1.86</v>
      </c>
      <c r="Q285" s="141">
        <v>1.86</v>
      </c>
      <c r="AP285" s="144" t="s">
        <v>2236</v>
      </c>
      <c r="AQ285" s="141">
        <v>2.12</v>
      </c>
      <c r="AR285" s="141">
        <v>2.12</v>
      </c>
      <c r="AS285" s="141">
        <v>2.12</v>
      </c>
      <c r="AT285" s="141">
        <v>2.12</v>
      </c>
      <c r="AU285" s="141">
        <v>2.12</v>
      </c>
      <c r="AV285" s="141">
        <v>2.12</v>
      </c>
      <c r="AW285" s="141">
        <v>2.12</v>
      </c>
      <c r="AX285" s="126" t="s">
        <v>2586</v>
      </c>
    </row>
    <row r="286" spans="1:50" s="140" customFormat="1" ht="12.75" customHeight="1">
      <c r="A286" s="150" t="str">
        <f>IF(Главная!$P$9="Дол.",AX286,IF(Главная!$P$9="гривен.",AP286,IF(Главная!$P$9="рублей.",AI286,AP286)))</f>
        <v>Ставище</v>
      </c>
      <c r="B286" s="141">
        <v>2.12</v>
      </c>
      <c r="J286" s="141">
        <v>2.12</v>
      </c>
      <c r="K286" s="162">
        <f>IF(Главная!$P$9="Дол.",AY286,IF(Главная!$P$9="гривен.",AQ286,IF(Главная!$P$9="рублей.",AJ286,AQ286)))</f>
        <v>1.74</v>
      </c>
      <c r="L286" s="162">
        <f>IF(Главная!$P$9="Дол.",AZ286,IF(Главная!$P$9="гривен.",AR286,IF(Главная!$P$9="рублей.",AK286,AR286)))</f>
        <v>1.74</v>
      </c>
      <c r="M286" s="162">
        <f>IF(Главная!$P$9="Дол.",BA286,IF(Главная!$P$9="гривен.",AS286,IF(Главная!$P$9="рублей.",AL286,AS286)))</f>
        <v>1.74</v>
      </c>
      <c r="N286" s="162">
        <f>IF(Главная!$P$9="Дол.",BB286,IF(Главная!$P$9="гривен.",AT286,IF(Главная!$P$9="рублей.",AM286,AT286)))</f>
        <v>1.74</v>
      </c>
      <c r="O286" s="162">
        <f>IF(Главная!$P$9="Дол.",BC286,IF(Главная!$P$9="гривен.",AU286,IF(Главная!$P$9="рублей.",AN286,AU286)))</f>
        <v>1.74</v>
      </c>
      <c r="P286" s="141">
        <v>2.12</v>
      </c>
      <c r="Q286" s="141">
        <v>2.12</v>
      </c>
      <c r="AP286" s="144" t="s">
        <v>2235</v>
      </c>
      <c r="AQ286" s="141">
        <v>1.74</v>
      </c>
      <c r="AR286" s="141">
        <v>1.74</v>
      </c>
      <c r="AS286" s="141">
        <v>1.74</v>
      </c>
      <c r="AT286" s="141">
        <v>1.74</v>
      </c>
      <c r="AU286" s="141">
        <v>1.74</v>
      </c>
      <c r="AV286" s="141">
        <v>1.74</v>
      </c>
      <c r="AW286" s="141">
        <v>1.74</v>
      </c>
      <c r="AX286" s="126" t="s">
        <v>2587</v>
      </c>
    </row>
    <row r="287" spans="1:50" s="140" customFormat="1" ht="12.75" customHeight="1">
      <c r="A287" s="150" t="str">
        <f>IF(Главная!$P$9="Дол.",AX287,IF(Главная!$P$9="гривен.",AP287,IF(Главная!$P$9="рублей.",AI287,AP287)))</f>
        <v>Старобельск</v>
      </c>
      <c r="B287" s="141">
        <v>2.59</v>
      </c>
      <c r="J287" s="141">
        <v>2.59</v>
      </c>
      <c r="K287" s="162">
        <f>IF(Главная!$P$9="Дол.",AY287,IF(Главная!$P$9="гривен.",AQ287,IF(Главная!$P$9="рублей.",AJ287,AQ287)))</f>
        <v>2.23</v>
      </c>
      <c r="L287" s="162">
        <f>IF(Главная!$P$9="Дол.",AZ287,IF(Главная!$P$9="гривен.",AR287,IF(Главная!$P$9="рублей.",AK287,AR287)))</f>
        <v>2.23</v>
      </c>
      <c r="M287" s="162">
        <f>IF(Главная!$P$9="Дол.",BA287,IF(Главная!$P$9="гривен.",AS287,IF(Главная!$P$9="рублей.",AL287,AS287)))</f>
        <v>2.23</v>
      </c>
      <c r="N287" s="162">
        <f>IF(Главная!$P$9="Дол.",BB287,IF(Главная!$P$9="гривен.",AT287,IF(Главная!$P$9="рублей.",AM287,AT287)))</f>
        <v>2.23</v>
      </c>
      <c r="O287" s="162">
        <f>IF(Главная!$P$9="Дол.",BC287,IF(Главная!$P$9="гривен.",AU287,IF(Главная!$P$9="рублей.",AN287,AU287)))</f>
        <v>2.23</v>
      </c>
      <c r="P287" s="141">
        <v>2.59</v>
      </c>
      <c r="Q287" s="141">
        <v>2.59</v>
      </c>
      <c r="AP287" s="144" t="s">
        <v>2234</v>
      </c>
      <c r="AQ287" s="141">
        <v>2.23</v>
      </c>
      <c r="AR287" s="141">
        <v>2.23</v>
      </c>
      <c r="AS287" s="141">
        <v>2.23</v>
      </c>
      <c r="AT287" s="141">
        <v>2.23</v>
      </c>
      <c r="AU287" s="141">
        <v>2.23</v>
      </c>
      <c r="AV287" s="141">
        <v>2.23</v>
      </c>
      <c r="AW287" s="141">
        <v>2.23</v>
      </c>
      <c r="AX287" s="126" t="s">
        <v>2588</v>
      </c>
    </row>
    <row r="288" spans="1:50" s="140" customFormat="1" ht="12.75" customHeight="1">
      <c r="A288" s="150" t="str">
        <f>IF(Главная!$P$9="Дол.",AX288,IF(Главная!$P$9="гривен.",AP288,IF(Главная!$P$9="рублей.",AI288,AP288)))</f>
        <v>Староконстантинов</v>
      </c>
      <c r="B288" s="141">
        <v>2.12</v>
      </c>
      <c r="J288" s="141">
        <v>2.12</v>
      </c>
      <c r="K288" s="162">
        <f>IF(Главная!$P$9="Дол.",AY288,IF(Главная!$P$9="гривен.",AQ288,IF(Главная!$P$9="рублей.",AJ288,AQ288)))</f>
        <v>2.12</v>
      </c>
      <c r="L288" s="162">
        <f>IF(Главная!$P$9="Дол.",AZ288,IF(Главная!$P$9="гривен.",AR288,IF(Главная!$P$9="рублей.",AK288,AR288)))</f>
        <v>2.12</v>
      </c>
      <c r="M288" s="162">
        <f>IF(Главная!$P$9="Дол.",BA288,IF(Главная!$P$9="гривен.",AS288,IF(Главная!$P$9="рублей.",AL288,AS288)))</f>
        <v>2.12</v>
      </c>
      <c r="N288" s="162">
        <f>IF(Главная!$P$9="Дол.",BB288,IF(Главная!$P$9="гривен.",AT288,IF(Главная!$P$9="рублей.",AM288,AT288)))</f>
        <v>2.12</v>
      </c>
      <c r="O288" s="162">
        <f>IF(Главная!$P$9="Дол.",BC288,IF(Главная!$P$9="гривен.",AU288,IF(Главная!$P$9="рублей.",AN288,AU288)))</f>
        <v>2.12</v>
      </c>
      <c r="P288" s="141">
        <v>2.12</v>
      </c>
      <c r="Q288" s="141">
        <v>2.12</v>
      </c>
      <c r="AP288" s="144" t="s">
        <v>2233</v>
      </c>
      <c r="AQ288" s="141">
        <v>2.12</v>
      </c>
      <c r="AR288" s="141">
        <v>2.12</v>
      </c>
      <c r="AS288" s="141">
        <v>2.12</v>
      </c>
      <c r="AT288" s="141">
        <v>2.12</v>
      </c>
      <c r="AU288" s="141">
        <v>2.12</v>
      </c>
      <c r="AV288" s="141">
        <v>2.12</v>
      </c>
      <c r="AW288" s="141">
        <v>2.12</v>
      </c>
      <c r="AX288" s="126" t="s">
        <v>2589</v>
      </c>
    </row>
    <row r="289" spans="1:50" s="140" customFormat="1" ht="12.75" customHeight="1">
      <c r="A289" s="150" t="str">
        <f>IF(Главная!$P$9="Дол.",AX289,IF(Главная!$P$9="гривен.",AP289,IF(Главная!$P$9="рублей.",AI289,AP289)))</f>
        <v>Старый Крым</v>
      </c>
      <c r="B289" s="141">
        <v>1.21</v>
      </c>
      <c r="J289" s="141">
        <v>1.21</v>
      </c>
      <c r="K289" s="162">
        <f>IF(Главная!$P$9="Дол.",AY289,IF(Главная!$P$9="гривен.",AQ289,IF(Главная!$P$9="рублей.",AJ289,AQ289)))</f>
        <v>12</v>
      </c>
      <c r="L289" s="162">
        <f>IF(Главная!$P$9="Дол.",AZ289,IF(Главная!$P$9="гривен.",AR289,IF(Главная!$P$9="рублей.",AK289,AR289)))</f>
        <v>12</v>
      </c>
      <c r="M289" s="162">
        <f>IF(Главная!$P$9="Дол.",BA289,IF(Главная!$P$9="гривен.",AS289,IF(Главная!$P$9="рублей.",AL289,AS289)))</f>
        <v>12</v>
      </c>
      <c r="N289" s="162">
        <f>IF(Главная!$P$9="Дол.",BB289,IF(Главная!$P$9="гривен.",AT289,IF(Главная!$P$9="рублей.",AM289,AT289)))</f>
        <v>12</v>
      </c>
      <c r="O289" s="162">
        <f>IF(Главная!$P$9="Дол.",BC289,IF(Главная!$P$9="гривен.",AU289,IF(Главная!$P$9="рублей.",AN289,AU289)))</f>
        <v>12</v>
      </c>
      <c r="P289" s="141">
        <v>1.21</v>
      </c>
      <c r="Q289" s="141">
        <v>1.21</v>
      </c>
      <c r="AP289" s="144" t="s">
        <v>2232</v>
      </c>
      <c r="AQ289" s="141">
        <v>12</v>
      </c>
      <c r="AR289" s="141">
        <v>12</v>
      </c>
      <c r="AS289" s="141">
        <v>12</v>
      </c>
      <c r="AT289" s="141">
        <v>12</v>
      </c>
      <c r="AU289" s="141">
        <v>12</v>
      </c>
      <c r="AV289" s="141">
        <v>12</v>
      </c>
      <c r="AW289" s="141">
        <v>12</v>
      </c>
      <c r="AX289" s="126" t="s">
        <v>2590</v>
      </c>
    </row>
    <row r="290" spans="1:50" s="140" customFormat="1" ht="12.75" customHeight="1">
      <c r="A290" s="150" t="str">
        <f>IF(Главная!$P$9="Дол.",AX290,IF(Главная!$P$9="гривен.",AP290,IF(Главная!$P$9="рублей.",AI290,AP290)))</f>
        <v>Стаханов</v>
      </c>
      <c r="B290" s="141">
        <v>1.74</v>
      </c>
      <c r="J290" s="141">
        <v>1.74</v>
      </c>
      <c r="K290" s="162">
        <f>IF(Главная!$P$9="Дол.",AY290,IF(Главная!$P$9="гривен.",AQ290,IF(Главная!$P$9="рублей.",AJ290,AQ290)))</f>
        <v>1.86</v>
      </c>
      <c r="L290" s="162">
        <f>IF(Главная!$P$9="Дол.",AZ290,IF(Главная!$P$9="гривен.",AR290,IF(Главная!$P$9="рублей.",AK290,AR290)))</f>
        <v>1.86</v>
      </c>
      <c r="M290" s="162">
        <f>IF(Главная!$P$9="Дол.",BA290,IF(Главная!$P$9="гривен.",AS290,IF(Главная!$P$9="рублей.",AL290,AS290)))</f>
        <v>1.86</v>
      </c>
      <c r="N290" s="162">
        <f>IF(Главная!$P$9="Дол.",BB290,IF(Главная!$P$9="гривен.",AT290,IF(Главная!$P$9="рублей.",AM290,AT290)))</f>
        <v>1.86</v>
      </c>
      <c r="O290" s="162">
        <f>IF(Главная!$P$9="Дол.",BC290,IF(Главная!$P$9="гривен.",AU290,IF(Главная!$P$9="рублей.",AN290,AU290)))</f>
        <v>1.86</v>
      </c>
      <c r="P290" s="141">
        <v>1.74</v>
      </c>
      <c r="Q290" s="141">
        <v>1.74</v>
      </c>
      <c r="AP290" s="144" t="s">
        <v>2231</v>
      </c>
      <c r="AQ290" s="141">
        <v>1.86</v>
      </c>
      <c r="AR290" s="141">
        <v>1.86</v>
      </c>
      <c r="AS290" s="141">
        <v>1.86</v>
      </c>
      <c r="AT290" s="141">
        <v>1.86</v>
      </c>
      <c r="AU290" s="141">
        <v>1.86</v>
      </c>
      <c r="AV290" s="141">
        <v>1.86</v>
      </c>
      <c r="AW290" s="141">
        <v>1.86</v>
      </c>
      <c r="AX290" s="126" t="s">
        <v>2583</v>
      </c>
    </row>
    <row r="291" spans="1:50" s="140" customFormat="1" ht="12.75" customHeight="1">
      <c r="A291" s="150" t="str">
        <f>IF(Главная!$P$9="Дол.",AX291,IF(Главная!$P$9="гривен.",AP291,IF(Главная!$P$9="рублей.",AI291,AP291)))</f>
        <v>Стебник</v>
      </c>
      <c r="B291" s="141">
        <v>2.59</v>
      </c>
      <c r="J291" s="141">
        <v>2.59</v>
      </c>
      <c r="K291" s="162">
        <f>IF(Главная!$P$9="Дол.",AY291,IF(Главная!$P$9="гривен.",AQ291,IF(Главная!$P$9="рублей.",AJ291,AQ291)))</f>
        <v>2.12</v>
      </c>
      <c r="L291" s="162">
        <f>IF(Главная!$P$9="Дол.",AZ291,IF(Главная!$P$9="гривен.",AR291,IF(Главная!$P$9="рублей.",AK291,AR291)))</f>
        <v>2.12</v>
      </c>
      <c r="M291" s="162">
        <f>IF(Главная!$P$9="Дол.",BA291,IF(Главная!$P$9="гривен.",AS291,IF(Главная!$P$9="рублей.",AL291,AS291)))</f>
        <v>2.12</v>
      </c>
      <c r="N291" s="162">
        <f>IF(Главная!$P$9="Дол.",BB291,IF(Главная!$P$9="гривен.",AT291,IF(Главная!$P$9="рублей.",AM291,AT291)))</f>
        <v>2.12</v>
      </c>
      <c r="O291" s="162">
        <f>IF(Главная!$P$9="Дол.",BC291,IF(Главная!$P$9="гривен.",AU291,IF(Главная!$P$9="рублей.",AN291,AU291)))</f>
        <v>2.12</v>
      </c>
      <c r="P291" s="141">
        <v>2.59</v>
      </c>
      <c r="Q291" s="141">
        <v>2.59</v>
      </c>
      <c r="AP291" s="144" t="s">
        <v>2230</v>
      </c>
      <c r="AQ291" s="141">
        <v>2.12</v>
      </c>
      <c r="AR291" s="141">
        <v>2.12</v>
      </c>
      <c r="AS291" s="141">
        <v>2.12</v>
      </c>
      <c r="AT291" s="141">
        <v>2.12</v>
      </c>
      <c r="AU291" s="141">
        <v>2.12</v>
      </c>
      <c r="AV291" s="141">
        <v>2.12</v>
      </c>
      <c r="AW291" s="141">
        <v>2.12</v>
      </c>
      <c r="AX291" s="126" t="s">
        <v>2584</v>
      </c>
    </row>
    <row r="292" spans="1:50" s="140" customFormat="1" ht="12.75" customHeight="1">
      <c r="A292" s="150" t="str">
        <f>IF(Главная!$P$9="Дол.",AX292,IF(Главная!$P$9="гривен.",AP292,IF(Главная!$P$9="рублей.",AI292,AP292)))</f>
        <v>Сторожинец</v>
      </c>
      <c r="B292" s="141">
        <v>2.12</v>
      </c>
      <c r="J292" s="141">
        <v>2.12</v>
      </c>
      <c r="K292" s="162">
        <f>IF(Главная!$P$9="Дол.",AY292,IF(Главная!$P$9="гривен.",AQ292,IF(Главная!$P$9="рублей.",AJ292,AQ292)))</f>
        <v>2.59</v>
      </c>
      <c r="L292" s="162">
        <f>IF(Главная!$P$9="Дол.",AZ292,IF(Главная!$P$9="гривен.",AR292,IF(Главная!$P$9="рублей.",AK292,AR292)))</f>
        <v>2.59</v>
      </c>
      <c r="M292" s="162">
        <f>IF(Главная!$P$9="Дол.",BA292,IF(Главная!$P$9="гривен.",AS292,IF(Главная!$P$9="рублей.",AL292,AS292)))</f>
        <v>2.59</v>
      </c>
      <c r="N292" s="162">
        <f>IF(Главная!$P$9="Дол.",BB292,IF(Главная!$P$9="гривен.",AT292,IF(Главная!$P$9="рублей.",AM292,AT292)))</f>
        <v>2.59</v>
      </c>
      <c r="O292" s="162">
        <f>IF(Главная!$P$9="Дол.",BC292,IF(Главная!$P$9="гривен.",AU292,IF(Главная!$P$9="рублей.",AN292,AU292)))</f>
        <v>2.59</v>
      </c>
      <c r="P292" s="141">
        <v>2.12</v>
      </c>
      <c r="Q292" s="141">
        <v>2.12</v>
      </c>
      <c r="AP292" s="144" t="s">
        <v>2229</v>
      </c>
      <c r="AQ292" s="141">
        <v>2.59</v>
      </c>
      <c r="AR292" s="141">
        <v>2.59</v>
      </c>
      <c r="AS292" s="141">
        <v>2.59</v>
      </c>
      <c r="AT292" s="141">
        <v>2.59</v>
      </c>
      <c r="AU292" s="141">
        <v>2.59</v>
      </c>
      <c r="AV292" s="141">
        <v>2.59</v>
      </c>
      <c r="AW292" s="141">
        <v>2.59</v>
      </c>
      <c r="AX292" s="126" t="s">
        <v>2585</v>
      </c>
    </row>
    <row r="293" spans="1:50" s="140" customFormat="1" ht="12.75" customHeight="1">
      <c r="A293" s="150" t="str">
        <f>IF(Главная!$P$9="Дол.",AX293,IF(Главная!$P$9="гривен.",AP293,IF(Главная!$P$9="рублей.",AI293,AP293)))</f>
        <v>Стрый</v>
      </c>
      <c r="B293" s="141">
        <v>1.86</v>
      </c>
      <c r="J293" s="141">
        <v>1.86</v>
      </c>
      <c r="K293" s="162">
        <f>IF(Главная!$P$9="Дол.",AY293,IF(Главная!$P$9="гривен.",AQ293,IF(Главная!$P$9="рублей.",AJ293,AQ293)))</f>
        <v>2.12</v>
      </c>
      <c r="L293" s="162">
        <f>IF(Главная!$P$9="Дол.",AZ293,IF(Главная!$P$9="гривен.",AR293,IF(Главная!$P$9="рублей.",AK293,AR293)))</f>
        <v>2.12</v>
      </c>
      <c r="M293" s="162">
        <f>IF(Главная!$P$9="Дол.",BA293,IF(Главная!$P$9="гривен.",AS293,IF(Главная!$P$9="рублей.",AL293,AS293)))</f>
        <v>2.12</v>
      </c>
      <c r="N293" s="162">
        <f>IF(Главная!$P$9="Дол.",BB293,IF(Главная!$P$9="гривен.",AT293,IF(Главная!$P$9="рублей.",AM293,AT293)))</f>
        <v>2.12</v>
      </c>
      <c r="O293" s="162">
        <f>IF(Главная!$P$9="Дол.",BC293,IF(Главная!$P$9="гривен.",AU293,IF(Главная!$P$9="рублей.",AN293,AU293)))</f>
        <v>2.12</v>
      </c>
      <c r="P293" s="141">
        <v>1.86</v>
      </c>
      <c r="Q293" s="141">
        <v>1.86</v>
      </c>
      <c r="AP293" s="144" t="s">
        <v>2228</v>
      </c>
      <c r="AQ293" s="141">
        <v>2.12</v>
      </c>
      <c r="AR293" s="141">
        <v>2.12</v>
      </c>
      <c r="AS293" s="141">
        <v>2.12</v>
      </c>
      <c r="AT293" s="141">
        <v>2.12</v>
      </c>
      <c r="AU293" s="141">
        <v>2.12</v>
      </c>
      <c r="AV293" s="141">
        <v>2.12</v>
      </c>
      <c r="AW293" s="141">
        <v>2.12</v>
      </c>
      <c r="AX293" s="126" t="s">
        <v>2586</v>
      </c>
    </row>
    <row r="294" spans="1:50" s="140" customFormat="1" ht="12.75" customHeight="1">
      <c r="A294" s="150" t="str">
        <f>IF(Главная!$P$9="Дол.",AX294,IF(Главная!$P$9="гривен.",AP294,IF(Главная!$P$9="рублей.",AI294,AP294)))</f>
        <v>Судак</v>
      </c>
      <c r="B294" s="141">
        <v>2.12</v>
      </c>
      <c r="J294" s="141">
        <v>2.12</v>
      </c>
      <c r="K294" s="162">
        <f>IF(Главная!$P$9="Дол.",AY294,IF(Главная!$P$9="гривен.",AQ294,IF(Главная!$P$9="рублей.",AJ294,AQ294)))</f>
        <v>12</v>
      </c>
      <c r="L294" s="162">
        <f>IF(Главная!$P$9="Дол.",AZ294,IF(Главная!$P$9="гривен.",AR294,IF(Главная!$P$9="рублей.",AK294,AR294)))</f>
        <v>12</v>
      </c>
      <c r="M294" s="162">
        <f>IF(Главная!$P$9="Дол.",BA294,IF(Главная!$P$9="гривен.",AS294,IF(Главная!$P$9="рублей.",AL294,AS294)))</f>
        <v>12</v>
      </c>
      <c r="N294" s="162">
        <f>IF(Главная!$P$9="Дол.",BB294,IF(Главная!$P$9="гривен.",AT294,IF(Главная!$P$9="рублей.",AM294,AT294)))</f>
        <v>12</v>
      </c>
      <c r="O294" s="162">
        <f>IF(Главная!$P$9="Дол.",BC294,IF(Главная!$P$9="гривен.",AU294,IF(Главная!$P$9="рублей.",AN294,AU294)))</f>
        <v>12</v>
      </c>
      <c r="P294" s="141">
        <v>2.12</v>
      </c>
      <c r="Q294" s="141">
        <v>2.12</v>
      </c>
      <c r="AP294" s="144" t="s">
        <v>2227</v>
      </c>
      <c r="AQ294" s="141">
        <v>12</v>
      </c>
      <c r="AR294" s="141">
        <v>12</v>
      </c>
      <c r="AS294" s="141">
        <v>12</v>
      </c>
      <c r="AT294" s="141">
        <v>12</v>
      </c>
      <c r="AU294" s="141">
        <v>12</v>
      </c>
      <c r="AV294" s="141">
        <v>12</v>
      </c>
      <c r="AW294" s="141">
        <v>12</v>
      </c>
      <c r="AX294" s="126" t="s">
        <v>2587</v>
      </c>
    </row>
    <row r="295" spans="1:50" s="140" customFormat="1" ht="12.75" customHeight="1">
      <c r="A295" s="150" t="str">
        <f>IF(Главная!$P$9="Дол.",AX295,IF(Главная!$P$9="гривен.",AP295,IF(Главная!$P$9="рублей.",AI295,AP295)))</f>
        <v>Сумы</v>
      </c>
      <c r="B295" s="141">
        <v>2.23</v>
      </c>
      <c r="J295" s="141">
        <v>2.23</v>
      </c>
      <c r="K295" s="162">
        <f>IF(Главная!$P$9="Дол.",AY295,IF(Главная!$P$9="гривен.",AQ295,IF(Главная!$P$9="рублей.",AJ295,AQ295)))</f>
        <v>1.21</v>
      </c>
      <c r="L295" s="162">
        <f>IF(Главная!$P$9="Дол.",AZ295,IF(Главная!$P$9="гривен.",AR295,IF(Главная!$P$9="рублей.",AK295,AR295)))</f>
        <v>1.21</v>
      </c>
      <c r="M295" s="162">
        <f>IF(Главная!$P$9="Дол.",BA295,IF(Главная!$P$9="гривен.",AS295,IF(Главная!$P$9="рублей.",AL295,AS295)))</f>
        <v>1.21</v>
      </c>
      <c r="N295" s="162">
        <f>IF(Главная!$P$9="Дол.",BB295,IF(Главная!$P$9="гривен.",AT295,IF(Главная!$P$9="рублей.",AM295,AT295)))</f>
        <v>1.21</v>
      </c>
      <c r="O295" s="162">
        <f>IF(Главная!$P$9="Дол.",BC295,IF(Главная!$P$9="гривен.",AU295,IF(Главная!$P$9="рублей.",AN295,AU295)))</f>
        <v>1.21</v>
      </c>
      <c r="P295" s="141">
        <v>2.23</v>
      </c>
      <c r="Q295" s="141">
        <v>2.23</v>
      </c>
      <c r="AP295" s="144" t="s">
        <v>2226</v>
      </c>
      <c r="AQ295" s="141">
        <v>1.21</v>
      </c>
      <c r="AR295" s="141">
        <v>1.21</v>
      </c>
      <c r="AS295" s="141">
        <v>1.21</v>
      </c>
      <c r="AT295" s="141">
        <v>1.21</v>
      </c>
      <c r="AU295" s="141">
        <v>1.21</v>
      </c>
      <c r="AV295" s="141">
        <v>1.21</v>
      </c>
      <c r="AW295" s="141">
        <v>1.21</v>
      </c>
      <c r="AX295" s="126" t="s">
        <v>2588</v>
      </c>
    </row>
    <row r="296" spans="1:50" s="140" customFormat="1" ht="12.75" customHeight="1">
      <c r="A296" s="150" t="str">
        <f>IF(Главная!$P$9="Дол.",AX296,IF(Главная!$P$9="гривен.",AP296,IF(Главная!$P$9="рублей.",AI296,AP296)))</f>
        <v>Суходольск</v>
      </c>
      <c r="B296" s="141">
        <v>1.86</v>
      </c>
      <c r="J296" s="141">
        <v>1.86</v>
      </c>
      <c r="K296" s="162">
        <f>IF(Главная!$P$9="Дол.",AY296,IF(Главная!$P$9="гривен.",AQ296,IF(Главная!$P$9="рублей.",AJ296,AQ296)))</f>
        <v>2.23</v>
      </c>
      <c r="L296" s="162">
        <f>IF(Главная!$P$9="Дол.",AZ296,IF(Главная!$P$9="гривен.",AR296,IF(Главная!$P$9="рублей.",AK296,AR296)))</f>
        <v>2.23</v>
      </c>
      <c r="M296" s="162">
        <f>IF(Главная!$P$9="Дол.",BA296,IF(Главная!$P$9="гривен.",AS296,IF(Главная!$P$9="рублей.",AL296,AS296)))</f>
        <v>2.23</v>
      </c>
      <c r="N296" s="162">
        <f>IF(Главная!$P$9="Дол.",BB296,IF(Главная!$P$9="гривен.",AT296,IF(Главная!$P$9="рублей.",AM296,AT296)))</f>
        <v>2.23</v>
      </c>
      <c r="O296" s="162">
        <f>IF(Главная!$P$9="Дол.",BC296,IF(Главная!$P$9="гривен.",AU296,IF(Главная!$P$9="рублей.",AN296,AU296)))</f>
        <v>2.23</v>
      </c>
      <c r="P296" s="141">
        <v>1.86</v>
      </c>
      <c r="Q296" s="141">
        <v>1.86</v>
      </c>
      <c r="AP296" s="144" t="s">
        <v>2225</v>
      </c>
      <c r="AQ296" s="141">
        <v>2.23</v>
      </c>
      <c r="AR296" s="141">
        <v>2.23</v>
      </c>
      <c r="AS296" s="141">
        <v>2.23</v>
      </c>
      <c r="AT296" s="141">
        <v>2.23</v>
      </c>
      <c r="AU296" s="141">
        <v>2.23</v>
      </c>
      <c r="AV296" s="141">
        <v>2.23</v>
      </c>
      <c r="AW296" s="141">
        <v>2.23</v>
      </c>
      <c r="AX296" s="126" t="s">
        <v>2589</v>
      </c>
    </row>
    <row r="297" spans="1:50" s="140" customFormat="1" ht="12.75" customHeight="1">
      <c r="A297" s="150" t="str">
        <f>IF(Главная!$P$9="Дол.",AX297,IF(Главная!$P$9="гривен.",AP297,IF(Главная!$P$9="рублей.",AI297,AP297)))</f>
        <v>Сходница</v>
      </c>
      <c r="B297" s="141">
        <v>2.59</v>
      </c>
      <c r="J297" s="141">
        <v>2.59</v>
      </c>
      <c r="K297" s="162">
        <f>IF(Главная!$P$9="Дол.",AY297,IF(Главная!$P$9="гривен.",AQ297,IF(Главная!$P$9="рублей.",AJ297,AQ297)))</f>
        <v>2.12</v>
      </c>
      <c r="L297" s="162">
        <f>IF(Главная!$P$9="Дол.",AZ297,IF(Главная!$P$9="гривен.",AR297,IF(Главная!$P$9="рублей.",AK297,AR297)))</f>
        <v>2.12</v>
      </c>
      <c r="M297" s="162">
        <f>IF(Главная!$P$9="Дол.",BA297,IF(Главная!$P$9="гривен.",AS297,IF(Главная!$P$9="рублей.",AL297,AS297)))</f>
        <v>2.12</v>
      </c>
      <c r="N297" s="162">
        <f>IF(Главная!$P$9="Дол.",BB297,IF(Главная!$P$9="гривен.",AT297,IF(Главная!$P$9="рублей.",AM297,AT297)))</f>
        <v>2.12</v>
      </c>
      <c r="O297" s="162">
        <f>IF(Главная!$P$9="Дол.",BC297,IF(Главная!$P$9="гривен.",AU297,IF(Главная!$P$9="рублей.",AN297,AU297)))</f>
        <v>2.12</v>
      </c>
      <c r="P297" s="141">
        <v>2.59</v>
      </c>
      <c r="Q297" s="141">
        <v>2.59</v>
      </c>
      <c r="AP297" s="144" t="s">
        <v>2224</v>
      </c>
      <c r="AQ297" s="141">
        <v>2.12</v>
      </c>
      <c r="AR297" s="141">
        <v>2.12</v>
      </c>
      <c r="AS297" s="141">
        <v>2.12</v>
      </c>
      <c r="AT297" s="141">
        <v>2.12</v>
      </c>
      <c r="AU297" s="141">
        <v>2.12</v>
      </c>
      <c r="AV297" s="141">
        <v>2.12</v>
      </c>
      <c r="AW297" s="141">
        <v>2.12</v>
      </c>
      <c r="AX297" s="126" t="s">
        <v>2590</v>
      </c>
    </row>
    <row r="298" spans="1:50" s="140" customFormat="1" ht="12.75" customHeight="1">
      <c r="A298" s="150" t="str">
        <f>IF(Главная!$P$9="Дол.",AX298,IF(Главная!$P$9="гривен.",AP298,IF(Главная!$P$9="рублей.",AI298,AP298)))</f>
        <v>Тальное</v>
      </c>
      <c r="B298" s="141">
        <v>1.21</v>
      </c>
      <c r="J298" s="141">
        <v>1.21</v>
      </c>
      <c r="K298" s="162">
        <f>IF(Главная!$P$9="Дол.",AY298,IF(Главная!$P$9="гривен.",AQ298,IF(Главная!$P$9="рублей.",AJ298,AQ298)))</f>
        <v>1.74</v>
      </c>
      <c r="L298" s="162">
        <f>IF(Главная!$P$9="Дол.",AZ298,IF(Главная!$P$9="гривен.",AR298,IF(Главная!$P$9="рублей.",AK298,AR298)))</f>
        <v>1.74</v>
      </c>
      <c r="M298" s="162">
        <f>IF(Главная!$P$9="Дол.",BA298,IF(Главная!$P$9="гривен.",AS298,IF(Главная!$P$9="рублей.",AL298,AS298)))</f>
        <v>1.74</v>
      </c>
      <c r="N298" s="162">
        <f>IF(Главная!$P$9="Дол.",BB298,IF(Главная!$P$9="гривен.",AT298,IF(Главная!$P$9="рублей.",AM298,AT298)))</f>
        <v>1.74</v>
      </c>
      <c r="O298" s="162">
        <f>IF(Главная!$P$9="Дол.",BC298,IF(Главная!$P$9="гривен.",AU298,IF(Главная!$P$9="рублей.",AN298,AU298)))</f>
        <v>1.74</v>
      </c>
      <c r="P298" s="141">
        <v>1.21</v>
      </c>
      <c r="Q298" s="141">
        <v>1.21</v>
      </c>
      <c r="AP298" s="144" t="s">
        <v>2223</v>
      </c>
      <c r="AQ298" s="141">
        <v>1.74</v>
      </c>
      <c r="AR298" s="141">
        <v>1.74</v>
      </c>
      <c r="AS298" s="141">
        <v>1.74</v>
      </c>
      <c r="AT298" s="141">
        <v>1.74</v>
      </c>
      <c r="AU298" s="141">
        <v>1.74</v>
      </c>
      <c r="AV298" s="141">
        <v>1.74</v>
      </c>
      <c r="AW298" s="141">
        <v>1.74</v>
      </c>
      <c r="AX298" s="126" t="s">
        <v>2583</v>
      </c>
    </row>
    <row r="299" spans="1:50" s="140" customFormat="1" ht="12.75" customHeight="1">
      <c r="A299" s="150" t="str">
        <f>IF(Главная!$P$9="Дол.",AX299,IF(Главная!$P$9="гривен.",AP299,IF(Главная!$P$9="рублей.",AI299,AP299)))</f>
        <v>Тараща</v>
      </c>
      <c r="B299" s="141">
        <v>1.86</v>
      </c>
      <c r="J299" s="141">
        <v>1.86</v>
      </c>
      <c r="K299" s="162">
        <f>IF(Главная!$P$9="Дол.",AY299,IF(Главная!$P$9="гривен.",AQ299,IF(Главная!$P$9="рублей.",AJ299,AQ299)))</f>
        <v>1.74</v>
      </c>
      <c r="L299" s="162">
        <f>IF(Главная!$P$9="Дол.",AZ299,IF(Главная!$P$9="гривен.",AR299,IF(Главная!$P$9="рублей.",AK299,AR299)))</f>
        <v>1.74</v>
      </c>
      <c r="M299" s="162">
        <f>IF(Главная!$P$9="Дол.",BA299,IF(Главная!$P$9="гривен.",AS299,IF(Главная!$P$9="рублей.",AL299,AS299)))</f>
        <v>1.74</v>
      </c>
      <c r="N299" s="162">
        <f>IF(Главная!$P$9="Дол.",BB299,IF(Главная!$P$9="гривен.",AT299,IF(Главная!$P$9="рублей.",AM299,AT299)))</f>
        <v>1.74</v>
      </c>
      <c r="O299" s="162">
        <f>IF(Главная!$P$9="Дол.",BC299,IF(Главная!$P$9="гривен.",AU299,IF(Главная!$P$9="рублей.",AN299,AU299)))</f>
        <v>1.74</v>
      </c>
      <c r="P299" s="141">
        <v>1.86</v>
      </c>
      <c r="Q299" s="141">
        <v>1.86</v>
      </c>
      <c r="AP299" s="144" t="s">
        <v>2222</v>
      </c>
      <c r="AQ299" s="141">
        <v>1.74</v>
      </c>
      <c r="AR299" s="141">
        <v>1.74</v>
      </c>
      <c r="AS299" s="141">
        <v>1.74</v>
      </c>
      <c r="AT299" s="141">
        <v>1.74</v>
      </c>
      <c r="AU299" s="141">
        <v>1.74</v>
      </c>
      <c r="AV299" s="141">
        <v>1.74</v>
      </c>
      <c r="AW299" s="141">
        <v>1.74</v>
      </c>
      <c r="AX299" s="126" t="s">
        <v>2584</v>
      </c>
    </row>
    <row r="300" spans="1:50" s="140" customFormat="1" ht="12.75" customHeight="1">
      <c r="A300" s="150" t="str">
        <f>IF(Главная!$P$9="Дол.",AX300,IF(Главная!$P$9="гривен.",AP300,IF(Главная!$P$9="рублей.",AI300,AP300)))</f>
        <v>Тарутино</v>
      </c>
      <c r="B300" s="141">
        <v>0.7</v>
      </c>
      <c r="J300" s="141">
        <v>0.7</v>
      </c>
      <c r="K300" s="162">
        <f>IF(Главная!$P$9="Дол.",AY300,IF(Главная!$P$9="гривен.",AQ300,IF(Главная!$P$9="рублей.",AJ300,AQ300)))</f>
        <v>2.23</v>
      </c>
      <c r="L300" s="162">
        <f>IF(Главная!$P$9="Дол.",AZ300,IF(Главная!$P$9="гривен.",AR300,IF(Главная!$P$9="рублей.",AK300,AR300)))</f>
        <v>2.23</v>
      </c>
      <c r="M300" s="162">
        <f>IF(Главная!$P$9="Дол.",BA300,IF(Главная!$P$9="гривен.",AS300,IF(Главная!$P$9="рублей.",AL300,AS300)))</f>
        <v>2.23</v>
      </c>
      <c r="N300" s="162">
        <f>IF(Главная!$P$9="Дол.",BB300,IF(Главная!$P$9="гривен.",AT300,IF(Главная!$P$9="рублей.",AM300,AT300)))</f>
        <v>2.23</v>
      </c>
      <c r="O300" s="162">
        <f>IF(Главная!$P$9="Дол.",BC300,IF(Главная!$P$9="гривен.",AU300,IF(Главная!$P$9="рублей.",AN300,AU300)))</f>
        <v>2.23</v>
      </c>
      <c r="P300" s="141">
        <v>0.7</v>
      </c>
      <c r="Q300" s="141">
        <v>0.7</v>
      </c>
      <c r="AP300" s="144" t="s">
        <v>2221</v>
      </c>
      <c r="AQ300" s="141">
        <v>2.23</v>
      </c>
      <c r="AR300" s="141">
        <v>2.23</v>
      </c>
      <c r="AS300" s="141">
        <v>2.23</v>
      </c>
      <c r="AT300" s="141">
        <v>2.23</v>
      </c>
      <c r="AU300" s="141">
        <v>2.23</v>
      </c>
      <c r="AV300" s="141">
        <v>2.23</v>
      </c>
      <c r="AW300" s="141">
        <v>2.23</v>
      </c>
      <c r="AX300" s="126" t="s">
        <v>2585</v>
      </c>
    </row>
    <row r="301" spans="1:50" s="140" customFormat="1" ht="12.75" customHeight="1">
      <c r="A301" s="150" t="str">
        <f>IF(Главная!$P$9="Дол.",AX301,IF(Главная!$P$9="гривен.",AP301,IF(Главная!$P$9="рублей.",AI301,AP301)))</f>
        <v>Татарбунары</v>
      </c>
      <c r="B301" s="141">
        <v>1.47</v>
      </c>
      <c r="J301" s="141">
        <v>1.47</v>
      </c>
      <c r="K301" s="162">
        <f>IF(Главная!$P$9="Дол.",AY301,IF(Главная!$P$9="гривен.",AQ301,IF(Главная!$P$9="рублей.",AJ301,AQ301)))</f>
        <v>2.23</v>
      </c>
      <c r="L301" s="162">
        <f>IF(Главная!$P$9="Дол.",AZ301,IF(Главная!$P$9="гривен.",AR301,IF(Главная!$P$9="рублей.",AK301,AR301)))</f>
        <v>2.23</v>
      </c>
      <c r="M301" s="162">
        <f>IF(Главная!$P$9="Дол.",BA301,IF(Главная!$P$9="гривен.",AS301,IF(Главная!$P$9="рублей.",AL301,AS301)))</f>
        <v>2.23</v>
      </c>
      <c r="N301" s="162">
        <f>IF(Главная!$P$9="Дол.",BB301,IF(Главная!$P$9="гривен.",AT301,IF(Главная!$P$9="рублей.",AM301,AT301)))</f>
        <v>2.23</v>
      </c>
      <c r="O301" s="162">
        <f>IF(Главная!$P$9="Дол.",BC301,IF(Главная!$P$9="гривен.",AU301,IF(Главная!$P$9="рублей.",AN301,AU301)))</f>
        <v>2.23</v>
      </c>
      <c r="P301" s="141">
        <v>1.47</v>
      </c>
      <c r="Q301" s="141">
        <v>1.47</v>
      </c>
      <c r="AP301" s="144" t="s">
        <v>2220</v>
      </c>
      <c r="AQ301" s="141">
        <v>2.23</v>
      </c>
      <c r="AR301" s="141">
        <v>2.23</v>
      </c>
      <c r="AS301" s="141">
        <v>2.23</v>
      </c>
      <c r="AT301" s="141">
        <v>2.23</v>
      </c>
      <c r="AU301" s="141">
        <v>2.23</v>
      </c>
      <c r="AV301" s="141">
        <v>2.23</v>
      </c>
      <c r="AW301" s="141">
        <v>2.23</v>
      </c>
      <c r="AX301" s="126" t="s">
        <v>2586</v>
      </c>
    </row>
    <row r="302" spans="1:50" s="140" customFormat="1" ht="12.75" customHeight="1">
      <c r="A302" s="150" t="str">
        <f>IF(Главная!$P$9="Дол.",AX302,IF(Главная!$P$9="гривен.",AP302,IF(Главная!$P$9="рублей.",AI302,AP302)))</f>
        <v>Теребовля</v>
      </c>
      <c r="B302" s="141">
        <v>1.21</v>
      </c>
      <c r="J302" s="141">
        <v>1.21</v>
      </c>
      <c r="K302" s="162">
        <f>IF(Главная!$P$9="Дол.",AY302,IF(Главная!$P$9="гривен.",AQ302,IF(Главная!$P$9="рублей.",AJ302,AQ302)))</f>
        <v>2.59</v>
      </c>
      <c r="L302" s="162">
        <f>IF(Главная!$P$9="Дол.",AZ302,IF(Главная!$P$9="гривен.",AR302,IF(Главная!$P$9="рублей.",AK302,AR302)))</f>
        <v>2.59</v>
      </c>
      <c r="M302" s="162">
        <f>IF(Главная!$P$9="Дол.",BA302,IF(Главная!$P$9="гривен.",AS302,IF(Главная!$P$9="рублей.",AL302,AS302)))</f>
        <v>2.59</v>
      </c>
      <c r="N302" s="162">
        <f>IF(Главная!$P$9="Дол.",BB302,IF(Главная!$P$9="гривен.",AT302,IF(Главная!$P$9="рублей.",AM302,AT302)))</f>
        <v>2.59</v>
      </c>
      <c r="O302" s="162">
        <f>IF(Главная!$P$9="Дол.",BC302,IF(Главная!$P$9="гривен.",AU302,IF(Главная!$P$9="рублей.",AN302,AU302)))</f>
        <v>2.59</v>
      </c>
      <c r="P302" s="141">
        <v>1.21</v>
      </c>
      <c r="Q302" s="141">
        <v>1.21</v>
      </c>
      <c r="AP302" s="144" t="s">
        <v>2219</v>
      </c>
      <c r="AQ302" s="141">
        <v>2.59</v>
      </c>
      <c r="AR302" s="141">
        <v>2.59</v>
      </c>
      <c r="AS302" s="141">
        <v>2.59</v>
      </c>
      <c r="AT302" s="141">
        <v>2.59</v>
      </c>
      <c r="AU302" s="141">
        <v>2.59</v>
      </c>
      <c r="AV302" s="141">
        <v>2.59</v>
      </c>
      <c r="AW302" s="141">
        <v>2.59</v>
      </c>
      <c r="AX302" s="126" t="s">
        <v>2587</v>
      </c>
    </row>
    <row r="303" spans="1:50" s="140" customFormat="1" ht="12.75" customHeight="1">
      <c r="A303" s="150" t="str">
        <f>IF(Главная!$P$9="Дол.",AX303,IF(Главная!$P$9="гривен.",AP303,IF(Главная!$P$9="рублей.",AI303,AP303)))</f>
        <v>Терновка</v>
      </c>
      <c r="B303" s="141">
        <v>2.12</v>
      </c>
      <c r="J303" s="141">
        <v>2.12</v>
      </c>
      <c r="K303" s="162">
        <f>IF(Главная!$P$9="Дол.",AY303,IF(Главная!$P$9="гривен.",AQ303,IF(Главная!$P$9="рублей.",AJ303,AQ303)))</f>
        <v>1.47</v>
      </c>
      <c r="L303" s="162">
        <f>IF(Главная!$P$9="Дол.",AZ303,IF(Главная!$P$9="гривен.",AR303,IF(Главная!$P$9="рублей.",AK303,AR303)))</f>
        <v>1.47</v>
      </c>
      <c r="M303" s="162">
        <f>IF(Главная!$P$9="Дол.",BA303,IF(Главная!$P$9="гривен.",AS303,IF(Главная!$P$9="рублей.",AL303,AS303)))</f>
        <v>1.47</v>
      </c>
      <c r="N303" s="162">
        <f>IF(Главная!$P$9="Дол.",BB303,IF(Главная!$P$9="гривен.",AT303,IF(Главная!$P$9="рублей.",AM303,AT303)))</f>
        <v>1.47</v>
      </c>
      <c r="O303" s="162">
        <f>IF(Главная!$P$9="Дол.",BC303,IF(Главная!$P$9="гривен.",AU303,IF(Главная!$P$9="рублей.",AN303,AU303)))</f>
        <v>1.47</v>
      </c>
      <c r="P303" s="141">
        <v>2.12</v>
      </c>
      <c r="Q303" s="141">
        <v>2.12</v>
      </c>
      <c r="AP303" s="144" t="s">
        <v>2218</v>
      </c>
      <c r="AQ303" s="141">
        <v>1.47</v>
      </c>
      <c r="AR303" s="141">
        <v>1.47</v>
      </c>
      <c r="AS303" s="141">
        <v>1.47</v>
      </c>
      <c r="AT303" s="141">
        <v>1.47</v>
      </c>
      <c r="AU303" s="141">
        <v>1.47</v>
      </c>
      <c r="AV303" s="141">
        <v>1.47</v>
      </c>
      <c r="AW303" s="141">
        <v>1.47</v>
      </c>
      <c r="AX303" s="126" t="s">
        <v>2588</v>
      </c>
    </row>
    <row r="304" spans="1:50" s="140" customFormat="1" ht="12.75" customHeight="1">
      <c r="A304" s="150" t="str">
        <f>IF(Главная!$P$9="Дол.",AX304,IF(Главная!$P$9="гривен.",AP304,IF(Главная!$P$9="рублей.",AI304,AP304)))</f>
        <v>Тернополь</v>
      </c>
      <c r="B304" s="141">
        <v>2.12</v>
      </c>
      <c r="J304" s="141">
        <v>2.12</v>
      </c>
      <c r="K304" s="162">
        <f>IF(Главная!$P$9="Дол.",AY304,IF(Главная!$P$9="гривен.",AQ304,IF(Главная!$P$9="рублей.",AJ304,AQ304)))</f>
        <v>2.59</v>
      </c>
      <c r="L304" s="162">
        <f>IF(Главная!$P$9="Дол.",AZ304,IF(Главная!$P$9="гривен.",AR304,IF(Главная!$P$9="рублей.",AK304,AR304)))</f>
        <v>2.59</v>
      </c>
      <c r="M304" s="162">
        <f>IF(Главная!$P$9="Дол.",BA304,IF(Главная!$P$9="гривен.",AS304,IF(Главная!$P$9="рублей.",AL304,AS304)))</f>
        <v>2.59</v>
      </c>
      <c r="N304" s="162">
        <f>IF(Главная!$P$9="Дол.",BB304,IF(Главная!$P$9="гривен.",AT304,IF(Главная!$P$9="рублей.",AM304,AT304)))</f>
        <v>2.59</v>
      </c>
      <c r="O304" s="162">
        <f>IF(Главная!$P$9="Дол.",BC304,IF(Главная!$P$9="гривен.",AU304,IF(Главная!$P$9="рублей.",AN304,AU304)))</f>
        <v>2.59</v>
      </c>
      <c r="P304" s="141">
        <v>2.12</v>
      </c>
      <c r="Q304" s="141">
        <v>2.12</v>
      </c>
      <c r="AP304" s="144" t="s">
        <v>2217</v>
      </c>
      <c r="AQ304" s="141">
        <v>2.59</v>
      </c>
      <c r="AR304" s="141">
        <v>2.59</v>
      </c>
      <c r="AS304" s="141">
        <v>2.59</v>
      </c>
      <c r="AT304" s="141">
        <v>2.59</v>
      </c>
      <c r="AU304" s="141">
        <v>2.59</v>
      </c>
      <c r="AV304" s="141">
        <v>2.59</v>
      </c>
      <c r="AW304" s="141">
        <v>2.59</v>
      </c>
      <c r="AX304" s="126" t="s">
        <v>2589</v>
      </c>
    </row>
    <row r="305" spans="1:50" s="140" customFormat="1" ht="12.75" customHeight="1">
      <c r="A305" s="150" t="str">
        <f>IF(Главная!$P$9="Дол.",AX305,IF(Главная!$P$9="гривен.",AP305,IF(Главная!$P$9="рублей.",AI305,AP305)))</f>
        <v>Токмак</v>
      </c>
      <c r="B305" s="141">
        <v>1.21</v>
      </c>
      <c r="J305" s="141">
        <v>1.21</v>
      </c>
      <c r="K305" s="162">
        <f>IF(Главная!$P$9="Дол.",AY305,IF(Главная!$P$9="гривен.",AQ305,IF(Главная!$P$9="рублей.",AJ305,AQ305)))</f>
        <v>1.86</v>
      </c>
      <c r="L305" s="162">
        <f>IF(Главная!$P$9="Дол.",AZ305,IF(Главная!$P$9="гривен.",AR305,IF(Главная!$P$9="рублей.",AK305,AR305)))</f>
        <v>1.86</v>
      </c>
      <c r="M305" s="162">
        <f>IF(Главная!$P$9="Дол.",BA305,IF(Главная!$P$9="гривен.",AS305,IF(Главная!$P$9="рублей.",AL305,AS305)))</f>
        <v>1.86</v>
      </c>
      <c r="N305" s="162">
        <f>IF(Главная!$P$9="Дол.",BB305,IF(Главная!$P$9="гривен.",AT305,IF(Главная!$P$9="рублей.",AM305,AT305)))</f>
        <v>1.86</v>
      </c>
      <c r="O305" s="162">
        <f>IF(Главная!$P$9="Дол.",BC305,IF(Главная!$P$9="гривен.",AU305,IF(Главная!$P$9="рублей.",AN305,AU305)))</f>
        <v>1.86</v>
      </c>
      <c r="P305" s="141">
        <v>1.21</v>
      </c>
      <c r="Q305" s="141">
        <v>1.21</v>
      </c>
      <c r="AP305" s="144" t="s">
        <v>2216</v>
      </c>
      <c r="AQ305" s="141">
        <v>1.86</v>
      </c>
      <c r="AR305" s="141">
        <v>1.86</v>
      </c>
      <c r="AS305" s="141">
        <v>1.86</v>
      </c>
      <c r="AT305" s="141">
        <v>1.86</v>
      </c>
      <c r="AU305" s="141">
        <v>1.86</v>
      </c>
      <c r="AV305" s="141">
        <v>1.86</v>
      </c>
      <c r="AW305" s="141">
        <v>1.86</v>
      </c>
      <c r="AX305" s="126" t="s">
        <v>2590</v>
      </c>
    </row>
    <row r="306" spans="1:50" s="140" customFormat="1" ht="12.75" customHeight="1">
      <c r="A306" s="150" t="str">
        <f>IF(Главная!$P$9="Дол.",AX306,IF(Главная!$P$9="гривен.",AP306,IF(Главная!$P$9="рублей.",AI306,AP306)))</f>
        <v>Торез</v>
      </c>
      <c r="B306" s="141">
        <v>2.12</v>
      </c>
      <c r="J306" s="141">
        <v>2.12</v>
      </c>
      <c r="K306" s="162">
        <f>IF(Главная!$P$9="Дол.",AY306,IF(Главная!$P$9="гривен.",AQ306,IF(Главная!$P$9="рублей.",AJ306,AQ306)))</f>
        <v>2.23</v>
      </c>
      <c r="L306" s="162">
        <f>IF(Главная!$P$9="Дол.",AZ306,IF(Главная!$P$9="гривен.",AR306,IF(Главная!$P$9="рублей.",AK306,AR306)))</f>
        <v>2.23</v>
      </c>
      <c r="M306" s="162">
        <f>IF(Главная!$P$9="Дол.",BA306,IF(Главная!$P$9="гривен.",AS306,IF(Главная!$P$9="рублей.",AL306,AS306)))</f>
        <v>2.23</v>
      </c>
      <c r="N306" s="162">
        <f>IF(Главная!$P$9="Дол.",BB306,IF(Главная!$P$9="гривен.",AT306,IF(Главная!$P$9="рублей.",AM306,AT306)))</f>
        <v>2.23</v>
      </c>
      <c r="O306" s="162">
        <f>IF(Главная!$P$9="Дол.",BC306,IF(Главная!$P$9="гривен.",AU306,IF(Главная!$P$9="рублей.",AN306,AU306)))</f>
        <v>2.23</v>
      </c>
      <c r="P306" s="141">
        <v>2.12</v>
      </c>
      <c r="Q306" s="141">
        <v>2.12</v>
      </c>
      <c r="AP306" s="144" t="s">
        <v>2215</v>
      </c>
      <c r="AQ306" s="141">
        <v>2.23</v>
      </c>
      <c r="AR306" s="141">
        <v>2.23</v>
      </c>
      <c r="AS306" s="141">
        <v>2.23</v>
      </c>
      <c r="AT306" s="141">
        <v>2.23</v>
      </c>
      <c r="AU306" s="141">
        <v>2.23</v>
      </c>
      <c r="AV306" s="141">
        <v>2.23</v>
      </c>
      <c r="AW306" s="141">
        <v>2.23</v>
      </c>
      <c r="AX306" s="126" t="s">
        <v>2583</v>
      </c>
    </row>
    <row r="307" spans="1:50" s="140" customFormat="1" ht="12.75" customHeight="1">
      <c r="A307" s="150" t="str">
        <f>IF(Главная!$P$9="Дол.",AX307,IF(Главная!$P$9="гривен.",AP307,IF(Главная!$P$9="рублей.",AI307,AP307)))</f>
        <v>Тростянец (Винн.обл.)</v>
      </c>
      <c r="B307" s="141">
        <v>2.12</v>
      </c>
      <c r="J307" s="141">
        <v>2.12</v>
      </c>
      <c r="K307" s="162">
        <f>IF(Главная!$P$9="Дол.",AY307,IF(Главная!$P$9="гривен.",AQ307,IF(Главная!$P$9="рублей.",AJ307,AQ307)))</f>
        <v>2.59</v>
      </c>
      <c r="L307" s="162">
        <f>IF(Главная!$P$9="Дол.",AZ307,IF(Главная!$P$9="гривен.",AR307,IF(Главная!$P$9="рублей.",AK307,AR307)))</f>
        <v>2.59</v>
      </c>
      <c r="M307" s="162">
        <f>IF(Главная!$P$9="Дол.",BA307,IF(Главная!$P$9="гривен.",AS307,IF(Главная!$P$9="рублей.",AL307,AS307)))</f>
        <v>2.59</v>
      </c>
      <c r="N307" s="162">
        <f>IF(Главная!$P$9="Дол.",BB307,IF(Главная!$P$9="гривен.",AT307,IF(Главная!$P$9="рублей.",AM307,AT307)))</f>
        <v>2.59</v>
      </c>
      <c r="O307" s="162">
        <f>IF(Главная!$P$9="Дол.",BC307,IF(Главная!$P$9="гривен.",AU307,IF(Главная!$P$9="рублей.",AN307,AU307)))</f>
        <v>2.59</v>
      </c>
      <c r="P307" s="141">
        <v>2.12</v>
      </c>
      <c r="Q307" s="141">
        <v>2.12</v>
      </c>
      <c r="AP307" s="144" t="s">
        <v>2214</v>
      </c>
      <c r="AQ307" s="141">
        <v>2.59</v>
      </c>
      <c r="AR307" s="141">
        <v>2.59</v>
      </c>
      <c r="AS307" s="141">
        <v>2.59</v>
      </c>
      <c r="AT307" s="141">
        <v>2.59</v>
      </c>
      <c r="AU307" s="141">
        <v>2.59</v>
      </c>
      <c r="AV307" s="141">
        <v>2.59</v>
      </c>
      <c r="AW307" s="141">
        <v>2.59</v>
      </c>
      <c r="AX307" s="126" t="s">
        <v>2584</v>
      </c>
    </row>
    <row r="308" spans="1:50" s="140" customFormat="1" ht="12.75" customHeight="1">
      <c r="A308" s="150" t="str">
        <f>IF(Главная!$P$9="Дол.",AX308,IF(Главная!$P$9="гривен.",AP308,IF(Главная!$P$9="рублей.",AI308,AP308)))</f>
        <v>Тростянец (Сумск.обл.)</v>
      </c>
      <c r="B308" s="141">
        <v>1.86</v>
      </c>
      <c r="J308" s="141">
        <v>1.86</v>
      </c>
      <c r="K308" s="162">
        <f>IF(Главная!$P$9="Дол.",AY308,IF(Главная!$P$9="гривен.",AQ308,IF(Главная!$P$9="рублей.",AJ308,AQ308)))</f>
        <v>1.21</v>
      </c>
      <c r="L308" s="162">
        <f>IF(Главная!$P$9="Дол.",AZ308,IF(Главная!$P$9="гривен.",AR308,IF(Главная!$P$9="рублей.",AK308,AR308)))</f>
        <v>1.21</v>
      </c>
      <c r="M308" s="162">
        <f>IF(Главная!$P$9="Дол.",BA308,IF(Главная!$P$9="гривен.",AS308,IF(Главная!$P$9="рублей.",AL308,AS308)))</f>
        <v>1.21</v>
      </c>
      <c r="N308" s="162">
        <f>IF(Главная!$P$9="Дол.",BB308,IF(Главная!$P$9="гривен.",AT308,IF(Главная!$P$9="рублей.",AM308,AT308)))</f>
        <v>1.21</v>
      </c>
      <c r="O308" s="162">
        <f>IF(Главная!$P$9="Дол.",BC308,IF(Главная!$P$9="гривен.",AU308,IF(Главная!$P$9="рублей.",AN308,AU308)))</f>
        <v>1.21</v>
      </c>
      <c r="P308" s="141">
        <v>1.86</v>
      </c>
      <c r="Q308" s="141">
        <v>1.86</v>
      </c>
      <c r="AP308" s="144" t="s">
        <v>2213</v>
      </c>
      <c r="AQ308" s="141">
        <v>1.21</v>
      </c>
      <c r="AR308" s="141">
        <v>1.21</v>
      </c>
      <c r="AS308" s="141">
        <v>1.21</v>
      </c>
      <c r="AT308" s="141">
        <v>1.21</v>
      </c>
      <c r="AU308" s="141">
        <v>1.21</v>
      </c>
      <c r="AV308" s="141">
        <v>1.21</v>
      </c>
      <c r="AW308" s="141">
        <v>1.21</v>
      </c>
      <c r="AX308" s="126" t="s">
        <v>2585</v>
      </c>
    </row>
    <row r="309" spans="1:50" s="140" customFormat="1" ht="12.75" customHeight="1">
      <c r="A309" s="150" t="str">
        <f>IF(Главная!$P$9="Дол.",AX309,IF(Главная!$P$9="гривен.",AP309,IF(Главная!$P$9="рублей.",AI309,AP309)))</f>
        <v>Трускавец</v>
      </c>
      <c r="B309" s="141">
        <v>1.74</v>
      </c>
      <c r="J309" s="141">
        <v>1.74</v>
      </c>
      <c r="K309" s="162">
        <f>IF(Главная!$P$9="Дол.",AY309,IF(Главная!$P$9="гривен.",AQ309,IF(Главная!$P$9="рублей.",AJ309,AQ309)))</f>
        <v>2.12</v>
      </c>
      <c r="L309" s="162">
        <f>IF(Главная!$P$9="Дол.",AZ309,IF(Главная!$P$9="гривен.",AR309,IF(Главная!$P$9="рублей.",AK309,AR309)))</f>
        <v>2.12</v>
      </c>
      <c r="M309" s="162">
        <f>IF(Главная!$P$9="Дол.",BA309,IF(Главная!$P$9="гривен.",AS309,IF(Главная!$P$9="рублей.",AL309,AS309)))</f>
        <v>2.12</v>
      </c>
      <c r="N309" s="162">
        <f>IF(Главная!$P$9="Дол.",BB309,IF(Главная!$P$9="гривен.",AT309,IF(Главная!$P$9="рублей.",AM309,AT309)))</f>
        <v>2.12</v>
      </c>
      <c r="O309" s="162">
        <f>IF(Главная!$P$9="Дол.",BC309,IF(Главная!$P$9="гривен.",AU309,IF(Главная!$P$9="рублей.",AN309,AU309)))</f>
        <v>2.12</v>
      </c>
      <c r="P309" s="141">
        <v>1.74</v>
      </c>
      <c r="Q309" s="141">
        <v>1.74</v>
      </c>
      <c r="AP309" s="144" t="s">
        <v>2212</v>
      </c>
      <c r="AQ309" s="141">
        <v>2.12</v>
      </c>
      <c r="AR309" s="141">
        <v>2.12</v>
      </c>
      <c r="AS309" s="141">
        <v>2.12</v>
      </c>
      <c r="AT309" s="141">
        <v>2.12</v>
      </c>
      <c r="AU309" s="141">
        <v>2.12</v>
      </c>
      <c r="AV309" s="141">
        <v>2.12</v>
      </c>
      <c r="AW309" s="141">
        <v>2.12</v>
      </c>
      <c r="AX309" s="126" t="s">
        <v>2586</v>
      </c>
    </row>
    <row r="310" spans="1:50" s="140" customFormat="1" ht="12.75" customHeight="1">
      <c r="A310" s="150" t="str">
        <f>IF(Главная!$P$9="Дол.",AX310,IF(Главная!$P$9="гривен.",AP310,IF(Главная!$P$9="рублей.",AI310,AP310)))</f>
        <v>Тульчин</v>
      </c>
      <c r="B310" s="141">
        <v>2.12</v>
      </c>
      <c r="J310" s="141">
        <v>2.12</v>
      </c>
      <c r="K310" s="162">
        <f>IF(Главная!$P$9="Дол.",AY310,IF(Главная!$P$9="гривен.",AQ310,IF(Главная!$P$9="рублей.",AJ310,AQ310)))</f>
        <v>2.59</v>
      </c>
      <c r="L310" s="162">
        <f>IF(Главная!$P$9="Дол.",AZ310,IF(Главная!$P$9="гривен.",AR310,IF(Главная!$P$9="рублей.",AK310,AR310)))</f>
        <v>2.59</v>
      </c>
      <c r="M310" s="162">
        <f>IF(Главная!$P$9="Дол.",BA310,IF(Главная!$P$9="гривен.",AS310,IF(Главная!$P$9="рублей.",AL310,AS310)))</f>
        <v>2.59</v>
      </c>
      <c r="N310" s="162">
        <f>IF(Главная!$P$9="Дол.",BB310,IF(Главная!$P$9="гривен.",AT310,IF(Главная!$P$9="рублей.",AM310,AT310)))</f>
        <v>2.59</v>
      </c>
      <c r="O310" s="162">
        <f>IF(Главная!$P$9="Дол.",BC310,IF(Главная!$P$9="гривен.",AU310,IF(Главная!$P$9="рублей.",AN310,AU310)))</f>
        <v>2.59</v>
      </c>
      <c r="P310" s="141">
        <v>2.12</v>
      </c>
      <c r="Q310" s="141">
        <v>2.12</v>
      </c>
      <c r="AP310" s="144" t="s">
        <v>2211</v>
      </c>
      <c r="AQ310" s="141">
        <v>2.59</v>
      </c>
      <c r="AR310" s="141">
        <v>2.59</v>
      </c>
      <c r="AS310" s="141">
        <v>2.59</v>
      </c>
      <c r="AT310" s="141">
        <v>2.59</v>
      </c>
      <c r="AU310" s="141">
        <v>2.59</v>
      </c>
      <c r="AV310" s="141">
        <v>2.59</v>
      </c>
      <c r="AW310" s="141">
        <v>2.59</v>
      </c>
      <c r="AX310" s="126" t="s">
        <v>2587</v>
      </c>
    </row>
    <row r="311" spans="1:50" s="140" customFormat="1" ht="12.75" customHeight="1">
      <c r="A311" s="150" t="str">
        <f>IF(Главная!$P$9="Дол.",AX311,IF(Главная!$P$9="гривен.",AP311,IF(Главная!$P$9="рублей.",AI311,AP311)))</f>
        <v>Тячев</v>
      </c>
      <c r="B311" s="141">
        <v>2.12</v>
      </c>
      <c r="J311" s="141">
        <v>2.12</v>
      </c>
      <c r="K311" s="162">
        <f>IF(Главная!$P$9="Дол.",AY311,IF(Главная!$P$9="гривен.",AQ311,IF(Главная!$P$9="рублей.",AJ311,AQ311)))</f>
        <v>2.59</v>
      </c>
      <c r="L311" s="162">
        <f>IF(Главная!$P$9="Дол.",AZ311,IF(Главная!$P$9="гривен.",AR311,IF(Главная!$P$9="рублей.",AK311,AR311)))</f>
        <v>2.59</v>
      </c>
      <c r="M311" s="162">
        <f>IF(Главная!$P$9="Дол.",BA311,IF(Главная!$P$9="гривен.",AS311,IF(Главная!$P$9="рублей.",AL311,AS311)))</f>
        <v>2.59</v>
      </c>
      <c r="N311" s="162">
        <f>IF(Главная!$P$9="Дол.",BB311,IF(Главная!$P$9="гривен.",AT311,IF(Главная!$P$9="рублей.",AM311,AT311)))</f>
        <v>2.59</v>
      </c>
      <c r="O311" s="162">
        <f>IF(Главная!$P$9="Дол.",BC311,IF(Главная!$P$9="гривен.",AU311,IF(Главная!$P$9="рублей.",AN311,AU311)))</f>
        <v>2.59</v>
      </c>
      <c r="P311" s="141">
        <v>2.12</v>
      </c>
      <c r="Q311" s="141">
        <v>2.12</v>
      </c>
      <c r="AP311" s="144" t="s">
        <v>2210</v>
      </c>
      <c r="AQ311" s="141">
        <v>2.59</v>
      </c>
      <c r="AR311" s="141">
        <v>2.59</v>
      </c>
      <c r="AS311" s="141">
        <v>2.59</v>
      </c>
      <c r="AT311" s="141">
        <v>2.59</v>
      </c>
      <c r="AU311" s="141">
        <v>2.59</v>
      </c>
      <c r="AV311" s="141">
        <v>2.59</v>
      </c>
      <c r="AW311" s="141">
        <v>2.59</v>
      </c>
      <c r="AX311" s="126" t="s">
        <v>2588</v>
      </c>
    </row>
    <row r="312" spans="1:50" s="140" customFormat="1" ht="12.75" customHeight="1">
      <c r="A312" s="150" t="str">
        <f>IF(Главная!$P$9="Дол.",AX312,IF(Главная!$P$9="гривен.",AP312,IF(Главная!$P$9="рублей.",AI312,AP312)))</f>
        <v>Угледар</v>
      </c>
      <c r="B312" s="141">
        <v>1.74</v>
      </c>
      <c r="J312" s="141">
        <v>1.74</v>
      </c>
      <c r="K312" s="162">
        <f>IF(Главная!$P$9="Дол.",AY312,IF(Главная!$P$9="гривен.",AQ312,IF(Главная!$P$9="рублей.",AJ312,AQ312)))</f>
        <v>2.23</v>
      </c>
      <c r="L312" s="162">
        <f>IF(Главная!$P$9="Дол.",AZ312,IF(Главная!$P$9="гривен.",AR312,IF(Главная!$P$9="рублей.",AK312,AR312)))</f>
        <v>2.23</v>
      </c>
      <c r="M312" s="162">
        <f>IF(Главная!$P$9="Дол.",BA312,IF(Главная!$P$9="гривен.",AS312,IF(Главная!$P$9="рублей.",AL312,AS312)))</f>
        <v>2.23</v>
      </c>
      <c r="N312" s="162">
        <f>IF(Главная!$P$9="Дол.",BB312,IF(Главная!$P$9="гривен.",AT312,IF(Главная!$P$9="рублей.",AM312,AT312)))</f>
        <v>2.23</v>
      </c>
      <c r="O312" s="162">
        <f>IF(Главная!$P$9="Дол.",BC312,IF(Главная!$P$9="гривен.",AU312,IF(Главная!$P$9="рублей.",AN312,AU312)))</f>
        <v>2.23</v>
      </c>
      <c r="P312" s="141">
        <v>1.74</v>
      </c>
      <c r="Q312" s="141">
        <v>1.74</v>
      </c>
      <c r="AP312" s="144" t="s">
        <v>2209</v>
      </c>
      <c r="AQ312" s="141">
        <v>2.23</v>
      </c>
      <c r="AR312" s="141">
        <v>2.23</v>
      </c>
      <c r="AS312" s="141">
        <v>2.23</v>
      </c>
      <c r="AT312" s="141">
        <v>2.23</v>
      </c>
      <c r="AU312" s="141">
        <v>2.23</v>
      </c>
      <c r="AV312" s="141">
        <v>2.23</v>
      </c>
      <c r="AW312" s="141">
        <v>2.23</v>
      </c>
      <c r="AX312" s="126" t="s">
        <v>2589</v>
      </c>
    </row>
    <row r="313" spans="1:50" s="140" customFormat="1" ht="12.75" customHeight="1">
      <c r="A313" s="150" t="str">
        <f>IF(Главная!$P$9="Дол.",AX313,IF(Главная!$P$9="гривен.",AP313,IF(Главная!$P$9="рублей.",AI313,AP313)))</f>
        <v>Ужгород</v>
      </c>
      <c r="B313" s="141">
        <v>2.12</v>
      </c>
      <c r="J313" s="141">
        <v>2.12</v>
      </c>
      <c r="K313" s="162">
        <f>IF(Главная!$P$9="Дол.",AY313,IF(Главная!$P$9="гривен.",AQ313,IF(Главная!$P$9="рублей.",AJ313,AQ313)))</f>
        <v>2.59</v>
      </c>
      <c r="L313" s="162">
        <f>IF(Главная!$P$9="Дол.",AZ313,IF(Главная!$P$9="гривен.",AR313,IF(Главная!$P$9="рублей.",AK313,AR313)))</f>
        <v>2.59</v>
      </c>
      <c r="M313" s="162">
        <f>IF(Главная!$P$9="Дол.",BA313,IF(Главная!$P$9="гривен.",AS313,IF(Главная!$P$9="рублей.",AL313,AS313)))</f>
        <v>2.59</v>
      </c>
      <c r="N313" s="162">
        <f>IF(Главная!$P$9="Дол.",BB313,IF(Главная!$P$9="гривен.",AT313,IF(Главная!$P$9="рублей.",AM313,AT313)))</f>
        <v>2.59</v>
      </c>
      <c r="O313" s="162">
        <f>IF(Главная!$P$9="Дол.",BC313,IF(Главная!$P$9="гривен.",AU313,IF(Главная!$P$9="рублей.",AN313,AU313)))</f>
        <v>2.59</v>
      </c>
      <c r="P313" s="141">
        <v>2.12</v>
      </c>
      <c r="Q313" s="141">
        <v>2.12</v>
      </c>
      <c r="AP313" s="144" t="s">
        <v>2208</v>
      </c>
      <c r="AQ313" s="141">
        <v>2.59</v>
      </c>
      <c r="AR313" s="141">
        <v>2.59</v>
      </c>
      <c r="AS313" s="141">
        <v>2.59</v>
      </c>
      <c r="AT313" s="141">
        <v>2.59</v>
      </c>
      <c r="AU313" s="141">
        <v>2.59</v>
      </c>
      <c r="AV313" s="141">
        <v>2.59</v>
      </c>
      <c r="AW313" s="141">
        <v>2.59</v>
      </c>
      <c r="AX313" s="126" t="s">
        <v>2590</v>
      </c>
    </row>
    <row r="314" spans="1:50" s="140" customFormat="1" ht="12.75" customHeight="1">
      <c r="A314" s="150" t="str">
        <f>IF(Главная!$P$9="Дол.",AX314,IF(Главная!$P$9="гривен.",AP314,IF(Главная!$P$9="рублей.",AI314,AP314)))</f>
        <v>Узин</v>
      </c>
      <c r="B314" s="141">
        <v>2.23</v>
      </c>
      <c r="J314" s="141">
        <v>2.23</v>
      </c>
      <c r="K314" s="162">
        <f>IF(Главная!$P$9="Дол.",AY314,IF(Главная!$P$9="гривен.",AQ314,IF(Главная!$P$9="рублей.",AJ314,AQ314)))</f>
        <v>1.74</v>
      </c>
      <c r="L314" s="162">
        <f>IF(Главная!$P$9="Дол.",AZ314,IF(Главная!$P$9="гривен.",AR314,IF(Главная!$P$9="рублей.",AK314,AR314)))</f>
        <v>1.74</v>
      </c>
      <c r="M314" s="162">
        <f>IF(Главная!$P$9="Дол.",BA314,IF(Главная!$P$9="гривен.",AS314,IF(Главная!$P$9="рублей.",AL314,AS314)))</f>
        <v>1.74</v>
      </c>
      <c r="N314" s="162">
        <f>IF(Главная!$P$9="Дол.",BB314,IF(Главная!$P$9="гривен.",AT314,IF(Главная!$P$9="рублей.",AM314,AT314)))</f>
        <v>1.74</v>
      </c>
      <c r="O314" s="162">
        <f>IF(Главная!$P$9="Дол.",BC314,IF(Главная!$P$9="гривен.",AU314,IF(Главная!$P$9="рублей.",AN314,AU314)))</f>
        <v>1.74</v>
      </c>
      <c r="P314" s="141">
        <v>2.23</v>
      </c>
      <c r="Q314" s="141">
        <v>2.23</v>
      </c>
      <c r="AP314" s="144" t="s">
        <v>2207</v>
      </c>
      <c r="AQ314" s="141">
        <v>1.74</v>
      </c>
      <c r="AR314" s="141">
        <v>1.74</v>
      </c>
      <c r="AS314" s="141">
        <v>1.74</v>
      </c>
      <c r="AT314" s="141">
        <v>1.74</v>
      </c>
      <c r="AU314" s="141">
        <v>1.74</v>
      </c>
      <c r="AV314" s="141">
        <v>1.74</v>
      </c>
      <c r="AW314" s="141">
        <v>1.74</v>
      </c>
      <c r="AX314" s="126" t="s">
        <v>2583</v>
      </c>
    </row>
    <row r="315" spans="1:50" s="140" customFormat="1" ht="12.75" customHeight="1">
      <c r="A315" s="150" t="str">
        <f>IF(Главная!$P$9="Дол.",AX315,IF(Главная!$P$9="гривен.",AP315,IF(Главная!$P$9="рублей.",AI315,AP315)))</f>
        <v>Ульяновка</v>
      </c>
      <c r="B315" s="141">
        <v>2.59</v>
      </c>
      <c r="J315" s="141">
        <v>2.59</v>
      </c>
      <c r="K315" s="162">
        <f>IF(Главная!$P$9="Дол.",AY315,IF(Главная!$P$9="гривен.",AQ315,IF(Главная!$P$9="рублей.",AJ315,AQ315)))</f>
        <v>2.12</v>
      </c>
      <c r="L315" s="162">
        <f>IF(Главная!$P$9="Дол.",AZ315,IF(Главная!$P$9="гривен.",AR315,IF(Главная!$P$9="рублей.",AK315,AR315)))</f>
        <v>2.12</v>
      </c>
      <c r="M315" s="162">
        <f>IF(Главная!$P$9="Дол.",BA315,IF(Главная!$P$9="гривен.",AS315,IF(Главная!$P$9="рублей.",AL315,AS315)))</f>
        <v>2.12</v>
      </c>
      <c r="N315" s="162">
        <f>IF(Главная!$P$9="Дол.",BB315,IF(Главная!$P$9="гривен.",AT315,IF(Главная!$P$9="рублей.",AM315,AT315)))</f>
        <v>2.12</v>
      </c>
      <c r="O315" s="162">
        <f>IF(Главная!$P$9="Дол.",BC315,IF(Главная!$P$9="гривен.",AU315,IF(Главная!$P$9="рублей.",AN315,AU315)))</f>
        <v>2.12</v>
      </c>
      <c r="P315" s="141">
        <v>2.59</v>
      </c>
      <c r="Q315" s="141">
        <v>2.59</v>
      </c>
      <c r="AP315" s="144" t="s">
        <v>2206</v>
      </c>
      <c r="AQ315" s="141">
        <v>2.12</v>
      </c>
      <c r="AR315" s="141">
        <v>2.12</v>
      </c>
      <c r="AS315" s="141">
        <v>2.12</v>
      </c>
      <c r="AT315" s="141">
        <v>2.12</v>
      </c>
      <c r="AU315" s="141">
        <v>2.12</v>
      </c>
      <c r="AV315" s="141">
        <v>2.12</v>
      </c>
      <c r="AW315" s="141">
        <v>2.12</v>
      </c>
      <c r="AX315" s="126" t="s">
        <v>2584</v>
      </c>
    </row>
    <row r="316" spans="1:50" s="140" customFormat="1" ht="12.75" customHeight="1">
      <c r="A316" s="150" t="str">
        <f>IF(Главная!$P$9="Дол.",AX316,IF(Главная!$P$9="гривен.",AP316,IF(Главная!$P$9="рублей.",AI316,AP316)))</f>
        <v>Умань</v>
      </c>
      <c r="B316" s="141">
        <v>1.74</v>
      </c>
      <c r="J316" s="141">
        <v>1.74</v>
      </c>
      <c r="K316" s="162">
        <f>IF(Главная!$P$9="Дол.",AY316,IF(Главная!$P$9="гривен.",AQ316,IF(Главная!$P$9="рублей.",AJ316,AQ316)))</f>
        <v>1.74</v>
      </c>
      <c r="L316" s="162">
        <f>IF(Главная!$P$9="Дол.",AZ316,IF(Главная!$P$9="гривен.",AR316,IF(Главная!$P$9="рублей.",AK316,AR316)))</f>
        <v>1.74</v>
      </c>
      <c r="M316" s="162">
        <f>IF(Главная!$P$9="Дол.",BA316,IF(Главная!$P$9="гривен.",AS316,IF(Главная!$P$9="рублей.",AL316,AS316)))</f>
        <v>1.74</v>
      </c>
      <c r="N316" s="162">
        <f>IF(Главная!$P$9="Дол.",BB316,IF(Главная!$P$9="гривен.",AT316,IF(Главная!$P$9="рублей.",AM316,AT316)))</f>
        <v>1.74</v>
      </c>
      <c r="O316" s="162">
        <f>IF(Главная!$P$9="Дол.",BC316,IF(Главная!$P$9="гривен.",AU316,IF(Главная!$P$9="рублей.",AN316,AU316)))</f>
        <v>1.74</v>
      </c>
      <c r="P316" s="141">
        <v>1.74</v>
      </c>
      <c r="Q316" s="141">
        <v>1.74</v>
      </c>
      <c r="AP316" s="144" t="s">
        <v>2205</v>
      </c>
      <c r="AQ316" s="141">
        <v>1.74</v>
      </c>
      <c r="AR316" s="141">
        <v>1.74</v>
      </c>
      <c r="AS316" s="141">
        <v>1.74</v>
      </c>
      <c r="AT316" s="141">
        <v>1.74</v>
      </c>
      <c r="AU316" s="141">
        <v>1.74</v>
      </c>
      <c r="AV316" s="141">
        <v>1.74</v>
      </c>
      <c r="AW316" s="141">
        <v>1.74</v>
      </c>
      <c r="AX316" s="126" t="s">
        <v>2585</v>
      </c>
    </row>
    <row r="317" spans="1:50" s="140" customFormat="1" ht="12.75" customHeight="1">
      <c r="A317" s="150" t="str">
        <f>IF(Главная!$P$9="Дол.",AX317,IF(Главная!$P$9="гривен.",AP317,IF(Главная!$P$9="рублей.",AI317,AP317)))</f>
        <v>Устиновка</v>
      </c>
      <c r="B317" s="141">
        <v>1.74</v>
      </c>
      <c r="J317" s="141">
        <v>1.74</v>
      </c>
      <c r="K317" s="162">
        <f>IF(Главная!$P$9="Дол.",AY317,IF(Главная!$P$9="гривен.",AQ317,IF(Главная!$P$9="рублей.",AJ317,AQ317)))</f>
        <v>2.12</v>
      </c>
      <c r="L317" s="162">
        <f>IF(Главная!$P$9="Дол.",AZ317,IF(Главная!$P$9="гривен.",AR317,IF(Главная!$P$9="рублей.",AK317,AR317)))</f>
        <v>2.12</v>
      </c>
      <c r="M317" s="162">
        <f>IF(Главная!$P$9="Дол.",BA317,IF(Главная!$P$9="гривен.",AS317,IF(Главная!$P$9="рублей.",AL317,AS317)))</f>
        <v>2.12</v>
      </c>
      <c r="N317" s="162">
        <f>IF(Главная!$P$9="Дол.",BB317,IF(Главная!$P$9="гривен.",AT317,IF(Главная!$P$9="рублей.",AM317,AT317)))</f>
        <v>2.12</v>
      </c>
      <c r="O317" s="162">
        <f>IF(Главная!$P$9="Дол.",BC317,IF(Главная!$P$9="гривен.",AU317,IF(Главная!$P$9="рублей.",AN317,AU317)))</f>
        <v>2.12</v>
      </c>
      <c r="P317" s="141">
        <v>1.74</v>
      </c>
      <c r="Q317" s="141">
        <v>1.74</v>
      </c>
      <c r="AP317" s="144" t="s">
        <v>2204</v>
      </c>
      <c r="AQ317" s="141">
        <v>2.12</v>
      </c>
      <c r="AR317" s="141">
        <v>2.12</v>
      </c>
      <c r="AS317" s="141">
        <v>2.12</v>
      </c>
      <c r="AT317" s="141">
        <v>2.12</v>
      </c>
      <c r="AU317" s="141">
        <v>2.12</v>
      </c>
      <c r="AV317" s="141">
        <v>2.12</v>
      </c>
      <c r="AW317" s="141">
        <v>2.12</v>
      </c>
      <c r="AX317" s="126" t="s">
        <v>2586</v>
      </c>
    </row>
    <row r="318" spans="1:50" s="140" customFormat="1" ht="12.75" customHeight="1">
      <c r="A318" s="150" t="str">
        <f>IF(Главная!$P$9="Дол.",AX318,IF(Главная!$P$9="гривен.",AP318,IF(Главная!$P$9="рублей.",AI318,AP318)))</f>
        <v>Фастов</v>
      </c>
      <c r="B318" s="141">
        <v>1.21</v>
      </c>
      <c r="J318" s="141">
        <v>1.21</v>
      </c>
      <c r="K318" s="162">
        <f>IF(Главная!$P$9="Дол.",AY318,IF(Главная!$P$9="гривен.",AQ318,IF(Главная!$P$9="рублей.",AJ318,AQ318)))</f>
        <v>1.74</v>
      </c>
      <c r="L318" s="162">
        <f>IF(Главная!$P$9="Дол.",AZ318,IF(Главная!$P$9="гривен.",AR318,IF(Главная!$P$9="рублей.",AK318,AR318)))</f>
        <v>1.74</v>
      </c>
      <c r="M318" s="162">
        <f>IF(Главная!$P$9="Дол.",BA318,IF(Главная!$P$9="гривен.",AS318,IF(Главная!$P$9="рублей.",AL318,AS318)))</f>
        <v>1.74</v>
      </c>
      <c r="N318" s="162">
        <f>IF(Главная!$P$9="Дол.",BB318,IF(Главная!$P$9="гривен.",AT318,IF(Главная!$P$9="рублей.",AM318,AT318)))</f>
        <v>1.74</v>
      </c>
      <c r="O318" s="162">
        <f>IF(Главная!$P$9="Дол.",BC318,IF(Главная!$P$9="гривен.",AU318,IF(Главная!$P$9="рублей.",AN318,AU318)))</f>
        <v>1.74</v>
      </c>
      <c r="P318" s="141">
        <v>1.21</v>
      </c>
      <c r="Q318" s="141">
        <v>1.21</v>
      </c>
      <c r="AP318" s="144" t="s">
        <v>2203</v>
      </c>
      <c r="AQ318" s="141">
        <v>1.74</v>
      </c>
      <c r="AR318" s="141">
        <v>1.74</v>
      </c>
      <c r="AS318" s="141">
        <v>1.74</v>
      </c>
      <c r="AT318" s="141">
        <v>1.74</v>
      </c>
      <c r="AU318" s="141">
        <v>1.74</v>
      </c>
      <c r="AV318" s="141">
        <v>1.74</v>
      </c>
      <c r="AW318" s="141">
        <v>1.74</v>
      </c>
      <c r="AX318" s="126" t="s">
        <v>2587</v>
      </c>
    </row>
    <row r="319" spans="1:50" s="140" customFormat="1" ht="12.75" customHeight="1">
      <c r="A319" s="150" t="str">
        <f>IF(Главная!$P$9="Дол.",AX319,IF(Главная!$P$9="гривен.",AP319,IF(Главная!$P$9="рублей.",AI319,AP319)))</f>
        <v>Феодосия</v>
      </c>
      <c r="B319" s="141">
        <v>1.21</v>
      </c>
      <c r="J319" s="141">
        <v>1.21</v>
      </c>
      <c r="K319" s="162">
        <f>IF(Главная!$P$9="Дол.",AY319,IF(Главная!$P$9="гривен.",AQ319,IF(Главная!$P$9="рублей.",AJ319,AQ319)))</f>
        <v>12</v>
      </c>
      <c r="L319" s="162">
        <f>IF(Главная!$P$9="Дол.",AZ319,IF(Главная!$P$9="гривен.",AR319,IF(Главная!$P$9="рублей.",AK319,AR319)))</f>
        <v>12</v>
      </c>
      <c r="M319" s="162">
        <f>IF(Главная!$P$9="Дол.",BA319,IF(Главная!$P$9="гривен.",AS319,IF(Главная!$P$9="рублей.",AL319,AS319)))</f>
        <v>12</v>
      </c>
      <c r="N319" s="162">
        <f>IF(Главная!$P$9="Дол.",BB319,IF(Главная!$P$9="гривен.",AT319,IF(Главная!$P$9="рублей.",AM319,AT319)))</f>
        <v>12</v>
      </c>
      <c r="O319" s="162">
        <f>IF(Главная!$P$9="Дол.",BC319,IF(Главная!$P$9="гривен.",AU319,IF(Главная!$P$9="рублей.",AN319,AU319)))</f>
        <v>12</v>
      </c>
      <c r="P319" s="141">
        <v>1.21</v>
      </c>
      <c r="Q319" s="141">
        <v>1.21</v>
      </c>
      <c r="AP319" s="144" t="s">
        <v>2202</v>
      </c>
      <c r="AQ319" s="141">
        <v>12</v>
      </c>
      <c r="AR319" s="141">
        <v>12</v>
      </c>
      <c r="AS319" s="141">
        <v>12</v>
      </c>
      <c r="AT319" s="141">
        <v>12</v>
      </c>
      <c r="AU319" s="141">
        <v>12</v>
      </c>
      <c r="AV319" s="141">
        <v>12</v>
      </c>
      <c r="AW319" s="141">
        <v>12</v>
      </c>
      <c r="AX319" s="126" t="s">
        <v>2588</v>
      </c>
    </row>
    <row r="320" spans="1:50" s="140" customFormat="1" ht="12.75" customHeight="1">
      <c r="A320" s="150" t="str">
        <f>IF(Главная!$P$9="Дол.",AX320,IF(Главная!$P$9="гривен.",AP320,IF(Главная!$P$9="рублей.",AI320,AP320)))</f>
        <v>Харцызск</v>
      </c>
      <c r="B320" s="141">
        <v>1.86</v>
      </c>
      <c r="J320" s="141">
        <v>1.86</v>
      </c>
      <c r="K320" s="162">
        <f>IF(Главная!$P$9="Дол.",AY320,IF(Главная!$P$9="гривен.",AQ320,IF(Главная!$P$9="рублей.",AJ320,AQ320)))</f>
        <v>2.23</v>
      </c>
      <c r="L320" s="162">
        <f>IF(Главная!$P$9="Дол.",AZ320,IF(Главная!$P$9="гривен.",AR320,IF(Главная!$P$9="рублей.",AK320,AR320)))</f>
        <v>2.23</v>
      </c>
      <c r="M320" s="162">
        <f>IF(Главная!$P$9="Дол.",BA320,IF(Главная!$P$9="гривен.",AS320,IF(Главная!$P$9="рублей.",AL320,AS320)))</f>
        <v>2.23</v>
      </c>
      <c r="N320" s="162">
        <f>IF(Главная!$P$9="Дол.",BB320,IF(Главная!$P$9="гривен.",AT320,IF(Главная!$P$9="рублей.",AM320,AT320)))</f>
        <v>2.23</v>
      </c>
      <c r="O320" s="162">
        <f>IF(Главная!$P$9="Дол.",BC320,IF(Главная!$P$9="гривен.",AU320,IF(Главная!$P$9="рублей.",AN320,AU320)))</f>
        <v>2.23</v>
      </c>
      <c r="P320" s="141">
        <v>1.86</v>
      </c>
      <c r="Q320" s="141">
        <v>1.86</v>
      </c>
      <c r="AP320" s="144" t="s">
        <v>2201</v>
      </c>
      <c r="AQ320" s="141">
        <v>2.23</v>
      </c>
      <c r="AR320" s="141">
        <v>2.23</v>
      </c>
      <c r="AS320" s="141">
        <v>2.23</v>
      </c>
      <c r="AT320" s="141">
        <v>2.23</v>
      </c>
      <c r="AU320" s="141">
        <v>2.23</v>
      </c>
      <c r="AV320" s="141">
        <v>2.23</v>
      </c>
      <c r="AW320" s="141">
        <v>2.23</v>
      </c>
      <c r="AX320" s="126" t="s">
        <v>2589</v>
      </c>
    </row>
    <row r="321" spans="1:50" s="140" customFormat="1" ht="12.75" customHeight="1">
      <c r="A321" s="150" t="str">
        <f>IF(Главная!$P$9="Дол.",AX321,IF(Главная!$P$9="гривен.",AP321,IF(Главная!$P$9="рублей.",AI321,AP321)))</f>
        <v>Харьков</v>
      </c>
      <c r="B321" s="141">
        <v>2.23</v>
      </c>
      <c r="J321" s="141">
        <v>2.23</v>
      </c>
      <c r="K321" s="162">
        <f>IF(Главная!$P$9="Дол.",AY321,IF(Главная!$P$9="гривен.",AQ321,IF(Главная!$P$9="рублей.",AJ321,AQ321)))</f>
        <v>1.21</v>
      </c>
      <c r="L321" s="162">
        <f>IF(Главная!$P$9="Дол.",AZ321,IF(Главная!$P$9="гривен.",AR321,IF(Главная!$P$9="рублей.",AK321,AR321)))</f>
        <v>1.21</v>
      </c>
      <c r="M321" s="162">
        <f>IF(Главная!$P$9="Дол.",BA321,IF(Главная!$P$9="гривен.",AS321,IF(Главная!$P$9="рублей.",AL321,AS321)))</f>
        <v>1.21</v>
      </c>
      <c r="N321" s="162">
        <f>IF(Главная!$P$9="Дол.",BB321,IF(Главная!$P$9="гривен.",AT321,IF(Главная!$P$9="рублей.",AM321,AT321)))</f>
        <v>1.21</v>
      </c>
      <c r="O321" s="162">
        <f>IF(Главная!$P$9="Дол.",BC321,IF(Главная!$P$9="гривен.",AU321,IF(Главная!$P$9="рублей.",AN321,AU321)))</f>
        <v>1.21</v>
      </c>
      <c r="P321" s="141">
        <v>2.23</v>
      </c>
      <c r="Q321" s="141">
        <v>2.23</v>
      </c>
      <c r="AP321" s="144" t="s">
        <v>2200</v>
      </c>
      <c r="AQ321" s="141">
        <v>1.21</v>
      </c>
      <c r="AR321" s="141">
        <v>1.21</v>
      </c>
      <c r="AS321" s="141">
        <v>1.21</v>
      </c>
      <c r="AT321" s="141">
        <v>1.21</v>
      </c>
      <c r="AU321" s="141">
        <v>1.21</v>
      </c>
      <c r="AV321" s="141">
        <v>1.21</v>
      </c>
      <c r="AW321" s="141">
        <v>1.21</v>
      </c>
      <c r="AX321" s="126" t="s">
        <v>2590</v>
      </c>
    </row>
    <row r="322" spans="1:50" s="140" customFormat="1" ht="12.75" customHeight="1">
      <c r="A322" s="150" t="str">
        <f>IF(Главная!$P$9="Дол.",AX322,IF(Главная!$P$9="гривен.",AP322,IF(Главная!$P$9="рублей.",AI322,AP322)))</f>
        <v>Херсон</v>
      </c>
      <c r="B322" s="141">
        <v>2.59</v>
      </c>
      <c r="J322" s="141">
        <v>2.59</v>
      </c>
      <c r="K322" s="162">
        <f>IF(Главная!$P$9="Дол.",AY322,IF(Главная!$P$9="гривен.",AQ322,IF(Главная!$P$9="рублей.",AJ322,AQ322)))</f>
        <v>1.86</v>
      </c>
      <c r="L322" s="162">
        <f>IF(Главная!$P$9="Дол.",AZ322,IF(Главная!$P$9="гривен.",AR322,IF(Главная!$P$9="рублей.",AK322,AR322)))</f>
        <v>1.86</v>
      </c>
      <c r="M322" s="162">
        <f>IF(Главная!$P$9="Дол.",BA322,IF(Главная!$P$9="гривен.",AS322,IF(Главная!$P$9="рублей.",AL322,AS322)))</f>
        <v>1.86</v>
      </c>
      <c r="N322" s="162">
        <f>IF(Главная!$P$9="Дол.",BB322,IF(Главная!$P$9="гривен.",AT322,IF(Главная!$P$9="рублей.",AM322,AT322)))</f>
        <v>1.86</v>
      </c>
      <c r="O322" s="162">
        <f>IF(Главная!$P$9="Дол.",BC322,IF(Главная!$P$9="гривен.",AU322,IF(Главная!$P$9="рублей.",AN322,AU322)))</f>
        <v>1.86</v>
      </c>
      <c r="P322" s="141">
        <v>2.59</v>
      </c>
      <c r="Q322" s="141">
        <v>2.59</v>
      </c>
      <c r="AP322" s="144" t="s">
        <v>2199</v>
      </c>
      <c r="AQ322" s="141">
        <v>1.86</v>
      </c>
      <c r="AR322" s="141">
        <v>1.86</v>
      </c>
      <c r="AS322" s="141">
        <v>1.86</v>
      </c>
      <c r="AT322" s="141">
        <v>1.86</v>
      </c>
      <c r="AU322" s="141">
        <v>1.86</v>
      </c>
      <c r="AV322" s="141">
        <v>1.86</v>
      </c>
      <c r="AW322" s="141">
        <v>1.86</v>
      </c>
      <c r="AX322" s="126" t="s">
        <v>2583</v>
      </c>
    </row>
    <row r="323" spans="1:50" s="140" customFormat="1" ht="12.75" customHeight="1">
      <c r="A323" s="150" t="str">
        <f>IF(Главная!$P$9="Дол.",AX323,IF(Главная!$P$9="гривен.",AP323,IF(Главная!$P$9="рублей.",AI323,AP323)))</f>
        <v>Хмельник</v>
      </c>
      <c r="B323" s="141">
        <v>2.12</v>
      </c>
      <c r="J323" s="141">
        <v>2.12</v>
      </c>
      <c r="K323" s="162">
        <f>IF(Главная!$P$9="Дол.",AY323,IF(Главная!$P$9="гривен.",AQ323,IF(Главная!$P$9="рублей.",AJ323,AQ323)))</f>
        <v>2.12</v>
      </c>
      <c r="L323" s="162">
        <f>IF(Главная!$P$9="Дол.",AZ323,IF(Главная!$P$9="гривен.",AR323,IF(Главная!$P$9="рублей.",AK323,AR323)))</f>
        <v>2.12</v>
      </c>
      <c r="M323" s="162">
        <f>IF(Главная!$P$9="Дол.",BA323,IF(Главная!$P$9="гривен.",AS323,IF(Главная!$P$9="рублей.",AL323,AS323)))</f>
        <v>2.12</v>
      </c>
      <c r="N323" s="162">
        <f>IF(Главная!$P$9="Дол.",BB323,IF(Главная!$P$9="гривен.",AT323,IF(Главная!$P$9="рублей.",AM323,AT323)))</f>
        <v>2.12</v>
      </c>
      <c r="O323" s="162">
        <f>IF(Главная!$P$9="Дол.",BC323,IF(Главная!$P$9="гривен.",AU323,IF(Главная!$P$9="рублей.",AN323,AU323)))</f>
        <v>2.12</v>
      </c>
      <c r="P323" s="141">
        <v>2.12</v>
      </c>
      <c r="Q323" s="141">
        <v>2.12</v>
      </c>
      <c r="AP323" s="144" t="s">
        <v>2198</v>
      </c>
      <c r="AQ323" s="141">
        <v>2.12</v>
      </c>
      <c r="AR323" s="141">
        <v>2.12</v>
      </c>
      <c r="AS323" s="141">
        <v>2.12</v>
      </c>
      <c r="AT323" s="141">
        <v>2.12</v>
      </c>
      <c r="AU323" s="141">
        <v>2.12</v>
      </c>
      <c r="AV323" s="141">
        <v>2.12</v>
      </c>
      <c r="AW323" s="141">
        <v>2.12</v>
      </c>
      <c r="AX323" s="126" t="s">
        <v>2584</v>
      </c>
    </row>
    <row r="324" spans="1:50" s="140" customFormat="1" ht="12.75" customHeight="1">
      <c r="A324" s="150" t="str">
        <f>IF(Главная!$P$9="Дол.",AX324,IF(Главная!$P$9="гривен.",AP324,IF(Главная!$P$9="рублей.",AI324,AP324)))</f>
        <v>Хмельницкий</v>
      </c>
      <c r="B324" s="141">
        <v>2.12</v>
      </c>
      <c r="J324" s="141">
        <v>2.12</v>
      </c>
      <c r="K324" s="162">
        <f>IF(Главная!$P$9="Дол.",AY324,IF(Главная!$P$9="гривен.",AQ324,IF(Главная!$P$9="рублей.",AJ324,AQ324)))</f>
        <v>1.86</v>
      </c>
      <c r="L324" s="162">
        <f>IF(Главная!$P$9="Дол.",AZ324,IF(Главная!$P$9="гривен.",AR324,IF(Главная!$P$9="рублей.",AK324,AR324)))</f>
        <v>1.86</v>
      </c>
      <c r="M324" s="162">
        <f>IF(Главная!$P$9="Дол.",BA324,IF(Главная!$P$9="гривен.",AS324,IF(Главная!$P$9="рублей.",AL324,AS324)))</f>
        <v>1.86</v>
      </c>
      <c r="N324" s="162">
        <f>IF(Главная!$P$9="Дол.",BB324,IF(Главная!$P$9="гривен.",AT324,IF(Главная!$P$9="рублей.",AM324,AT324)))</f>
        <v>1.86</v>
      </c>
      <c r="O324" s="162">
        <f>IF(Главная!$P$9="Дол.",BC324,IF(Главная!$P$9="гривен.",AU324,IF(Главная!$P$9="рублей.",AN324,AU324)))</f>
        <v>1.86</v>
      </c>
      <c r="P324" s="141">
        <v>2.12</v>
      </c>
      <c r="Q324" s="141">
        <v>2.12</v>
      </c>
      <c r="AP324" s="144" t="s">
        <v>2197</v>
      </c>
      <c r="AQ324" s="141">
        <v>1.86</v>
      </c>
      <c r="AR324" s="141">
        <v>1.86</v>
      </c>
      <c r="AS324" s="141">
        <v>1.86</v>
      </c>
      <c r="AT324" s="141">
        <v>1.86</v>
      </c>
      <c r="AU324" s="141">
        <v>1.86</v>
      </c>
      <c r="AV324" s="141">
        <v>1.86</v>
      </c>
      <c r="AW324" s="141">
        <v>1.86</v>
      </c>
      <c r="AX324" s="126" t="s">
        <v>2585</v>
      </c>
    </row>
    <row r="325" spans="1:50" s="140" customFormat="1" ht="12.75" customHeight="1">
      <c r="A325" s="150" t="str">
        <f>IF(Главная!$P$9="Дол.",AX325,IF(Главная!$P$9="гривен.",AP325,IF(Главная!$P$9="рублей.",AI325,AP325)))</f>
        <v>Ходоров</v>
      </c>
      <c r="B325" s="141">
        <v>2.59</v>
      </c>
      <c r="J325" s="141">
        <v>2.59</v>
      </c>
      <c r="K325" s="162">
        <f>IF(Главная!$P$9="Дол.",AY325,IF(Главная!$P$9="гривен.",AQ325,IF(Главная!$P$9="рублей.",AJ325,AQ325)))</f>
        <v>2.12</v>
      </c>
      <c r="L325" s="162">
        <f>IF(Главная!$P$9="Дол.",AZ325,IF(Главная!$P$9="гривен.",AR325,IF(Главная!$P$9="рублей.",AK325,AR325)))</f>
        <v>2.12</v>
      </c>
      <c r="M325" s="162">
        <f>IF(Главная!$P$9="Дол.",BA325,IF(Главная!$P$9="гривен.",AS325,IF(Главная!$P$9="рублей.",AL325,AS325)))</f>
        <v>2.12</v>
      </c>
      <c r="N325" s="162">
        <f>IF(Главная!$P$9="Дол.",BB325,IF(Главная!$P$9="гривен.",AT325,IF(Главная!$P$9="рублей.",AM325,AT325)))</f>
        <v>2.12</v>
      </c>
      <c r="O325" s="162">
        <f>IF(Главная!$P$9="Дол.",BC325,IF(Главная!$P$9="гривен.",AU325,IF(Главная!$P$9="рублей.",AN325,AU325)))</f>
        <v>2.12</v>
      </c>
      <c r="P325" s="141">
        <v>2.59</v>
      </c>
      <c r="Q325" s="141">
        <v>2.59</v>
      </c>
      <c r="AP325" s="144" t="s">
        <v>2196</v>
      </c>
      <c r="AQ325" s="141">
        <v>2.12</v>
      </c>
      <c r="AR325" s="141">
        <v>2.12</v>
      </c>
      <c r="AS325" s="141">
        <v>2.12</v>
      </c>
      <c r="AT325" s="141">
        <v>2.12</v>
      </c>
      <c r="AU325" s="141">
        <v>2.12</v>
      </c>
      <c r="AV325" s="141">
        <v>2.12</v>
      </c>
      <c r="AW325" s="141">
        <v>2.12</v>
      </c>
      <c r="AX325" s="126" t="s">
        <v>2586</v>
      </c>
    </row>
    <row r="326" spans="1:50" s="140" customFormat="1" ht="12.75" customHeight="1">
      <c r="A326" s="150" t="str">
        <f>IF(Главная!$P$9="Дол.",AX326,IF(Главная!$P$9="гривен.",AP326,IF(Главная!$P$9="рублей.",AI326,AP326)))</f>
        <v>Хорол</v>
      </c>
      <c r="B326" s="141">
        <v>2.23</v>
      </c>
      <c r="J326" s="141">
        <v>2.23</v>
      </c>
      <c r="K326" s="162">
        <f>IF(Главная!$P$9="Дол.",AY326,IF(Главная!$P$9="гривен.",AQ326,IF(Главная!$P$9="рублей.",AJ326,AQ326)))</f>
        <v>1.21</v>
      </c>
      <c r="L326" s="162">
        <f>IF(Главная!$P$9="Дол.",AZ326,IF(Главная!$P$9="гривен.",AR326,IF(Главная!$P$9="рублей.",AK326,AR326)))</f>
        <v>1.21</v>
      </c>
      <c r="M326" s="162">
        <f>IF(Главная!$P$9="Дол.",BA326,IF(Главная!$P$9="гривен.",AS326,IF(Главная!$P$9="рублей.",AL326,AS326)))</f>
        <v>1.21</v>
      </c>
      <c r="N326" s="162">
        <f>IF(Главная!$P$9="Дол.",BB326,IF(Главная!$P$9="гривен.",AT326,IF(Главная!$P$9="рублей.",AM326,AT326)))</f>
        <v>1.21</v>
      </c>
      <c r="O326" s="162">
        <f>IF(Главная!$P$9="Дол.",BC326,IF(Главная!$P$9="гривен.",AU326,IF(Главная!$P$9="рублей.",AN326,AU326)))</f>
        <v>1.21</v>
      </c>
      <c r="P326" s="141">
        <v>2.23</v>
      </c>
      <c r="Q326" s="141">
        <v>2.23</v>
      </c>
      <c r="AP326" s="144" t="s">
        <v>2195</v>
      </c>
      <c r="AQ326" s="141">
        <v>1.21</v>
      </c>
      <c r="AR326" s="141">
        <v>1.21</v>
      </c>
      <c r="AS326" s="141">
        <v>1.21</v>
      </c>
      <c r="AT326" s="141">
        <v>1.21</v>
      </c>
      <c r="AU326" s="141">
        <v>1.21</v>
      </c>
      <c r="AV326" s="141">
        <v>1.21</v>
      </c>
      <c r="AW326" s="141">
        <v>1.21</v>
      </c>
      <c r="AX326" s="126" t="s">
        <v>2587</v>
      </c>
    </row>
    <row r="327" spans="1:50" s="140" customFormat="1" ht="12.75" customHeight="1">
      <c r="A327" s="150" t="str">
        <f>IF(Главная!$P$9="Дол.",AX327,IF(Главная!$P$9="гривен.",AP327,IF(Главная!$P$9="рублей.",AI327,AP327)))</f>
        <v>Христиновка</v>
      </c>
      <c r="B327" s="141">
        <v>1.74</v>
      </c>
      <c r="J327" s="141">
        <v>1.74</v>
      </c>
      <c r="K327" s="162">
        <f>IF(Главная!$P$9="Дол.",AY327,IF(Главная!$P$9="гривен.",AQ327,IF(Главная!$P$9="рублей.",AJ327,AQ327)))</f>
        <v>2.59</v>
      </c>
      <c r="L327" s="162">
        <f>IF(Главная!$P$9="Дол.",AZ327,IF(Главная!$P$9="гривен.",AR327,IF(Главная!$P$9="рублей.",AK327,AR327)))</f>
        <v>2.59</v>
      </c>
      <c r="M327" s="162">
        <f>IF(Главная!$P$9="Дол.",BA327,IF(Главная!$P$9="гривен.",AS327,IF(Главная!$P$9="рублей.",AL327,AS327)))</f>
        <v>2.59</v>
      </c>
      <c r="N327" s="162">
        <f>IF(Главная!$P$9="Дол.",BB327,IF(Главная!$P$9="гривен.",AT327,IF(Главная!$P$9="рублей.",AM327,AT327)))</f>
        <v>2.59</v>
      </c>
      <c r="O327" s="162">
        <f>IF(Главная!$P$9="Дол.",BC327,IF(Главная!$P$9="гривен.",AU327,IF(Главная!$P$9="рублей.",AN327,AU327)))</f>
        <v>2.59</v>
      </c>
      <c r="P327" s="141">
        <v>1.74</v>
      </c>
      <c r="Q327" s="141">
        <v>1.74</v>
      </c>
      <c r="AP327" s="144" t="s">
        <v>2194</v>
      </c>
      <c r="AQ327" s="141">
        <v>2.59</v>
      </c>
      <c r="AR327" s="141">
        <v>2.59</v>
      </c>
      <c r="AS327" s="141">
        <v>2.59</v>
      </c>
      <c r="AT327" s="141">
        <v>2.59</v>
      </c>
      <c r="AU327" s="141">
        <v>2.59</v>
      </c>
      <c r="AV327" s="141">
        <v>2.59</v>
      </c>
      <c r="AW327" s="141">
        <v>2.59</v>
      </c>
      <c r="AX327" s="126" t="s">
        <v>2588</v>
      </c>
    </row>
    <row r="328" spans="1:50" s="140" customFormat="1" ht="12.75" customHeight="1">
      <c r="A328" s="150" t="str">
        <f>IF(Главная!$P$9="Дол.",AX328,IF(Главная!$P$9="гривен.",AP328,IF(Главная!$P$9="рублей.",AI328,AP328)))</f>
        <v>Хуст</v>
      </c>
      <c r="B328" s="141">
        <v>2.59</v>
      </c>
      <c r="J328" s="141">
        <v>2.59</v>
      </c>
      <c r="K328" s="162">
        <f>IF(Главная!$P$9="Дол.",AY328,IF(Главная!$P$9="гривен.",AQ328,IF(Главная!$P$9="рублей.",AJ328,AQ328)))</f>
        <v>2.59</v>
      </c>
      <c r="L328" s="162">
        <f>IF(Главная!$P$9="Дол.",AZ328,IF(Главная!$P$9="гривен.",AR328,IF(Главная!$P$9="рублей.",AK328,AR328)))</f>
        <v>2.59</v>
      </c>
      <c r="M328" s="162">
        <f>IF(Главная!$P$9="Дол.",BA328,IF(Главная!$P$9="гривен.",AS328,IF(Главная!$P$9="рублей.",AL328,AS328)))</f>
        <v>2.59</v>
      </c>
      <c r="N328" s="162">
        <f>IF(Главная!$P$9="Дол.",BB328,IF(Главная!$P$9="гривен.",AT328,IF(Главная!$P$9="рублей.",AM328,AT328)))</f>
        <v>2.59</v>
      </c>
      <c r="O328" s="162">
        <f>IF(Главная!$P$9="Дол.",BC328,IF(Главная!$P$9="гривен.",AU328,IF(Главная!$P$9="рублей.",AN328,AU328)))</f>
        <v>2.59</v>
      </c>
      <c r="P328" s="141">
        <v>2.59</v>
      </c>
      <c r="Q328" s="141">
        <v>2.59</v>
      </c>
      <c r="AP328" s="144" t="s">
        <v>2193</v>
      </c>
      <c r="AQ328" s="141">
        <v>2.59</v>
      </c>
      <c r="AR328" s="141">
        <v>2.59</v>
      </c>
      <c r="AS328" s="141">
        <v>2.59</v>
      </c>
      <c r="AT328" s="141">
        <v>2.59</v>
      </c>
      <c r="AU328" s="141">
        <v>2.59</v>
      </c>
      <c r="AV328" s="141">
        <v>2.59</v>
      </c>
      <c r="AW328" s="141">
        <v>2.59</v>
      </c>
      <c r="AX328" s="126" t="s">
        <v>2589</v>
      </c>
    </row>
    <row r="329" spans="1:50" s="140" customFormat="1" ht="12.75" customHeight="1">
      <c r="A329" s="150" t="str">
        <f>IF(Главная!$P$9="Дол.",AX329,IF(Главная!$P$9="гривен.",AP329,IF(Главная!$P$9="рублей.",AI329,AP329)))</f>
        <v>Цюрупинск</v>
      </c>
      <c r="B329" s="141">
        <v>2.12</v>
      </c>
      <c r="J329" s="141">
        <v>2.12</v>
      </c>
      <c r="K329" s="162">
        <f>IF(Главная!$P$9="Дол.",AY329,IF(Главная!$P$9="гривен.",AQ329,IF(Главная!$P$9="рублей.",AJ329,AQ329)))</f>
        <v>1.86</v>
      </c>
      <c r="L329" s="162">
        <f>IF(Главная!$P$9="Дол.",AZ329,IF(Главная!$P$9="гривен.",AR329,IF(Главная!$P$9="рублей.",AK329,AR329)))</f>
        <v>1.86</v>
      </c>
      <c r="M329" s="162">
        <f>IF(Главная!$P$9="Дол.",BA329,IF(Главная!$P$9="гривен.",AS329,IF(Главная!$P$9="рублей.",AL329,AS329)))</f>
        <v>1.86</v>
      </c>
      <c r="N329" s="162">
        <f>IF(Главная!$P$9="Дол.",BB329,IF(Главная!$P$9="гривен.",AT329,IF(Главная!$P$9="рублей.",AM329,AT329)))</f>
        <v>1.86</v>
      </c>
      <c r="O329" s="162">
        <f>IF(Главная!$P$9="Дол.",BC329,IF(Главная!$P$9="гривен.",AU329,IF(Главная!$P$9="рублей.",AN329,AU329)))</f>
        <v>1.86</v>
      </c>
      <c r="P329" s="141">
        <v>2.12</v>
      </c>
      <c r="Q329" s="141">
        <v>2.12</v>
      </c>
      <c r="AP329" s="144" t="s">
        <v>2192</v>
      </c>
      <c r="AQ329" s="141">
        <v>1.86</v>
      </c>
      <c r="AR329" s="141">
        <v>1.86</v>
      </c>
      <c r="AS329" s="141">
        <v>1.86</v>
      </c>
      <c r="AT329" s="141">
        <v>1.86</v>
      </c>
      <c r="AU329" s="141">
        <v>1.86</v>
      </c>
      <c r="AV329" s="141">
        <v>1.86</v>
      </c>
      <c r="AW329" s="141">
        <v>1.86</v>
      </c>
      <c r="AX329" s="126" t="s">
        <v>2590</v>
      </c>
    </row>
    <row r="330" spans="1:50" s="140" customFormat="1" ht="12.75" customHeight="1">
      <c r="A330" s="150" t="str">
        <f>IF(Главная!$P$9="Дол.",AX330,IF(Главная!$P$9="гривен.",AP330,IF(Главная!$P$9="рублей.",AI330,AP330)))</f>
        <v>Червоноград</v>
      </c>
      <c r="B330" s="141">
        <v>12</v>
      </c>
      <c r="J330" s="141">
        <v>12</v>
      </c>
      <c r="K330" s="162">
        <f>IF(Главная!$P$9="Дол.",AY330,IF(Главная!$P$9="гривен.",AQ330,IF(Главная!$P$9="рублей.",AJ330,AQ330)))</f>
        <v>2.12</v>
      </c>
      <c r="L330" s="162">
        <f>IF(Главная!$P$9="Дол.",AZ330,IF(Главная!$P$9="гривен.",AR330,IF(Главная!$P$9="рублей.",AK330,AR330)))</f>
        <v>2.12</v>
      </c>
      <c r="M330" s="162">
        <f>IF(Главная!$P$9="Дол.",BA330,IF(Главная!$P$9="гривен.",AS330,IF(Главная!$P$9="рублей.",AL330,AS330)))</f>
        <v>2.12</v>
      </c>
      <c r="N330" s="162">
        <f>IF(Главная!$P$9="Дол.",BB330,IF(Главная!$P$9="гривен.",AT330,IF(Главная!$P$9="рублей.",AM330,AT330)))</f>
        <v>2.12</v>
      </c>
      <c r="O330" s="162">
        <f>IF(Главная!$P$9="Дол.",BC330,IF(Главная!$P$9="гривен.",AU330,IF(Главная!$P$9="рублей.",AN330,AU330)))</f>
        <v>2.12</v>
      </c>
      <c r="P330" s="141">
        <v>12</v>
      </c>
      <c r="Q330" s="141">
        <v>12</v>
      </c>
      <c r="AP330" s="144" t="s">
        <v>2191</v>
      </c>
      <c r="AQ330" s="141">
        <v>2.12</v>
      </c>
      <c r="AR330" s="141">
        <v>2.12</v>
      </c>
      <c r="AS330" s="141">
        <v>2.12</v>
      </c>
      <c r="AT330" s="141">
        <v>2.12</v>
      </c>
      <c r="AU330" s="141">
        <v>2.12</v>
      </c>
      <c r="AV330" s="141">
        <v>2.12</v>
      </c>
      <c r="AW330" s="141">
        <v>2.12</v>
      </c>
      <c r="AX330" s="126" t="s">
        <v>2583</v>
      </c>
    </row>
    <row r="331" spans="1:50" s="140" customFormat="1" ht="12.75" customHeight="1">
      <c r="A331" s="150" t="str">
        <f>IF(Главная!$P$9="Дол.",AX331,IF(Главная!$P$9="гривен.",AP331,IF(Главная!$P$9="рублей.",AI331,AP331)))</f>
        <v>Червонозаводское</v>
      </c>
      <c r="B331" s="141">
        <v>1.86</v>
      </c>
      <c r="J331" s="141">
        <v>1.86</v>
      </c>
      <c r="K331" s="162">
        <f>IF(Главная!$P$9="Дол.",AY331,IF(Главная!$P$9="гривен.",AQ331,IF(Главная!$P$9="рублей.",AJ331,AQ331)))</f>
        <v>1.47</v>
      </c>
      <c r="L331" s="162">
        <f>IF(Главная!$P$9="Дол.",AZ331,IF(Главная!$P$9="гривен.",AR331,IF(Главная!$P$9="рублей.",AK331,AR331)))</f>
        <v>1.47</v>
      </c>
      <c r="M331" s="162">
        <f>IF(Главная!$P$9="Дол.",BA331,IF(Главная!$P$9="гривен.",AS331,IF(Главная!$P$9="рублей.",AL331,AS331)))</f>
        <v>1.47</v>
      </c>
      <c r="N331" s="162">
        <f>IF(Главная!$P$9="Дол.",BB331,IF(Главная!$P$9="гривен.",AT331,IF(Главная!$P$9="рублей.",AM331,AT331)))</f>
        <v>1.47</v>
      </c>
      <c r="O331" s="162">
        <f>IF(Главная!$P$9="Дол.",BC331,IF(Главная!$P$9="гривен.",AU331,IF(Главная!$P$9="рублей.",AN331,AU331)))</f>
        <v>1.47</v>
      </c>
      <c r="P331" s="141">
        <v>1.86</v>
      </c>
      <c r="Q331" s="141">
        <v>1.86</v>
      </c>
      <c r="AP331" s="144" t="s">
        <v>2190</v>
      </c>
      <c r="AQ331" s="141">
        <v>1.47</v>
      </c>
      <c r="AR331" s="141">
        <v>1.47</v>
      </c>
      <c r="AS331" s="141">
        <v>1.47</v>
      </c>
      <c r="AT331" s="141">
        <v>1.47</v>
      </c>
      <c r="AU331" s="141">
        <v>1.47</v>
      </c>
      <c r="AV331" s="141">
        <v>1.47</v>
      </c>
      <c r="AW331" s="141">
        <v>1.47</v>
      </c>
      <c r="AX331" s="126" t="s">
        <v>2584</v>
      </c>
    </row>
    <row r="332" spans="1:50" s="140" customFormat="1" ht="12.75" customHeight="1">
      <c r="A332" s="150" t="str">
        <f>IF(Главная!$P$9="Дол.",AX332,IF(Главная!$P$9="гривен.",AP332,IF(Главная!$P$9="рублей.",AI332,AP332)))</f>
        <v>Черкассы</v>
      </c>
      <c r="B332" s="141">
        <v>1.86</v>
      </c>
      <c r="J332" s="141">
        <v>1.86</v>
      </c>
      <c r="K332" s="162">
        <f>IF(Главная!$P$9="Дол.",AY332,IF(Главная!$P$9="гривен.",AQ332,IF(Главная!$P$9="рублей.",AJ332,AQ332)))</f>
        <v>1.21</v>
      </c>
      <c r="L332" s="162">
        <f>IF(Главная!$P$9="Дол.",AZ332,IF(Главная!$P$9="гривен.",AR332,IF(Главная!$P$9="рублей.",AK332,AR332)))</f>
        <v>1.21</v>
      </c>
      <c r="M332" s="162">
        <f>IF(Главная!$P$9="Дол.",BA332,IF(Главная!$P$9="гривен.",AS332,IF(Главная!$P$9="рублей.",AL332,AS332)))</f>
        <v>1.21</v>
      </c>
      <c r="N332" s="162">
        <f>IF(Главная!$P$9="Дол.",BB332,IF(Главная!$P$9="гривен.",AT332,IF(Главная!$P$9="рублей.",AM332,AT332)))</f>
        <v>1.21</v>
      </c>
      <c r="O332" s="162">
        <f>IF(Главная!$P$9="Дол.",BC332,IF(Главная!$P$9="гривен.",AU332,IF(Главная!$P$9="рублей.",AN332,AU332)))</f>
        <v>1.21</v>
      </c>
      <c r="P332" s="141">
        <v>1.86</v>
      </c>
      <c r="Q332" s="141">
        <v>1.86</v>
      </c>
      <c r="AP332" s="144" t="s">
        <v>2189</v>
      </c>
      <c r="AQ332" s="141">
        <v>1.21</v>
      </c>
      <c r="AR332" s="141">
        <v>1.21</v>
      </c>
      <c r="AS332" s="141">
        <v>1.21</v>
      </c>
      <c r="AT332" s="141">
        <v>1.21</v>
      </c>
      <c r="AU332" s="141">
        <v>1.21</v>
      </c>
      <c r="AV332" s="141">
        <v>1.21</v>
      </c>
      <c r="AW332" s="141">
        <v>1.21</v>
      </c>
      <c r="AX332" s="126" t="s">
        <v>2585</v>
      </c>
    </row>
    <row r="333" spans="1:50" s="140" customFormat="1" ht="12.75" customHeight="1">
      <c r="A333" s="150" t="str">
        <f>IF(Главная!$P$9="Дол.",AX333,IF(Главная!$P$9="гривен.",AP333,IF(Главная!$P$9="рублей.",AI333,AP333)))</f>
        <v>Чернигов</v>
      </c>
      <c r="B333" s="141">
        <v>1.74</v>
      </c>
      <c r="J333" s="141">
        <v>1.74</v>
      </c>
      <c r="K333" s="162">
        <f>IF(Главная!$P$9="Дол.",AY333,IF(Главная!$P$9="гривен.",AQ333,IF(Главная!$P$9="рублей.",AJ333,AQ333)))</f>
        <v>1.86</v>
      </c>
      <c r="L333" s="162">
        <f>IF(Главная!$P$9="Дол.",AZ333,IF(Главная!$P$9="гривен.",AR333,IF(Главная!$P$9="рублей.",AK333,AR333)))</f>
        <v>1.86</v>
      </c>
      <c r="M333" s="162">
        <f>IF(Главная!$P$9="Дол.",BA333,IF(Главная!$P$9="гривен.",AS333,IF(Главная!$P$9="рублей.",AL333,AS333)))</f>
        <v>1.86</v>
      </c>
      <c r="N333" s="162">
        <f>IF(Главная!$P$9="Дол.",BB333,IF(Главная!$P$9="гривен.",AT333,IF(Главная!$P$9="рублей.",AM333,AT333)))</f>
        <v>1.86</v>
      </c>
      <c r="O333" s="162">
        <f>IF(Главная!$P$9="Дол.",BC333,IF(Главная!$P$9="гривен.",AU333,IF(Главная!$P$9="рублей.",AN333,AU333)))</f>
        <v>1.86</v>
      </c>
      <c r="P333" s="141">
        <v>1.74</v>
      </c>
      <c r="Q333" s="141">
        <v>1.74</v>
      </c>
      <c r="AP333" s="144" t="s">
        <v>2188</v>
      </c>
      <c r="AQ333" s="141">
        <v>1.86</v>
      </c>
      <c r="AR333" s="141">
        <v>1.86</v>
      </c>
      <c r="AS333" s="141">
        <v>1.86</v>
      </c>
      <c r="AT333" s="141">
        <v>1.86</v>
      </c>
      <c r="AU333" s="141">
        <v>1.86</v>
      </c>
      <c r="AV333" s="141">
        <v>1.86</v>
      </c>
      <c r="AW333" s="141">
        <v>1.86</v>
      </c>
      <c r="AX333" s="126" t="s">
        <v>2586</v>
      </c>
    </row>
    <row r="334" spans="1:50" s="140" customFormat="1" ht="12.75" customHeight="1">
      <c r="A334" s="150" t="str">
        <f>IF(Главная!$P$9="Дол.",AX334,IF(Главная!$P$9="гривен.",AP334,IF(Главная!$P$9="рублей.",AI334,AP334)))</f>
        <v>Чернобай</v>
      </c>
      <c r="B334" s="141">
        <v>1.74</v>
      </c>
      <c r="J334" s="141">
        <v>1.74</v>
      </c>
      <c r="K334" s="162">
        <f>IF(Главная!$P$9="Дол.",AY334,IF(Главная!$P$9="гривен.",AQ334,IF(Главная!$P$9="рублей.",AJ334,AQ334)))</f>
        <v>1.21</v>
      </c>
      <c r="L334" s="162">
        <f>IF(Главная!$P$9="Дол.",AZ334,IF(Главная!$P$9="гривен.",AR334,IF(Главная!$P$9="рублей.",AK334,AR334)))</f>
        <v>1.21</v>
      </c>
      <c r="M334" s="162">
        <f>IF(Главная!$P$9="Дол.",BA334,IF(Главная!$P$9="гривен.",AS334,IF(Главная!$P$9="рублей.",AL334,AS334)))</f>
        <v>1.21</v>
      </c>
      <c r="N334" s="162">
        <f>IF(Главная!$P$9="Дол.",BB334,IF(Главная!$P$9="гривен.",AT334,IF(Главная!$P$9="рублей.",AM334,AT334)))</f>
        <v>1.21</v>
      </c>
      <c r="O334" s="162">
        <f>IF(Главная!$P$9="Дол.",BC334,IF(Главная!$P$9="гривен.",AU334,IF(Главная!$P$9="рублей.",AN334,AU334)))</f>
        <v>1.21</v>
      </c>
      <c r="P334" s="141">
        <v>1.74</v>
      </c>
      <c r="Q334" s="141">
        <v>1.74</v>
      </c>
      <c r="AP334" s="144" t="s">
        <v>2187</v>
      </c>
      <c r="AQ334" s="141">
        <v>1.21</v>
      </c>
      <c r="AR334" s="141">
        <v>1.21</v>
      </c>
      <c r="AS334" s="141">
        <v>1.21</v>
      </c>
      <c r="AT334" s="141">
        <v>1.21</v>
      </c>
      <c r="AU334" s="141">
        <v>1.21</v>
      </c>
      <c r="AV334" s="141">
        <v>1.21</v>
      </c>
      <c r="AW334" s="141">
        <v>1.21</v>
      </c>
      <c r="AX334" s="126" t="s">
        <v>2587</v>
      </c>
    </row>
    <row r="335" spans="1:50" s="140" customFormat="1" ht="12.75" customHeight="1">
      <c r="A335" s="150" t="str">
        <f>IF(Главная!$P$9="Дол.",AX335,IF(Главная!$P$9="гривен.",AP335,IF(Главная!$P$9="рублей.",AI335,AP335)))</f>
        <v>Черновцы</v>
      </c>
      <c r="B335" s="141">
        <v>2.12</v>
      </c>
      <c r="J335" s="141">
        <v>2.12</v>
      </c>
      <c r="K335" s="162">
        <f>IF(Главная!$P$9="Дол.",AY335,IF(Главная!$P$9="гривен.",AQ335,IF(Главная!$P$9="рублей.",AJ335,AQ335)))</f>
        <v>2.59</v>
      </c>
      <c r="L335" s="162">
        <f>IF(Главная!$P$9="Дол.",AZ335,IF(Главная!$P$9="гривен.",AR335,IF(Главная!$P$9="рублей.",AK335,AR335)))</f>
        <v>2.59</v>
      </c>
      <c r="M335" s="162">
        <f>IF(Главная!$P$9="Дол.",BA335,IF(Главная!$P$9="гривен.",AS335,IF(Главная!$P$9="рублей.",AL335,AS335)))</f>
        <v>2.59</v>
      </c>
      <c r="N335" s="162">
        <f>IF(Главная!$P$9="Дол.",BB335,IF(Главная!$P$9="гривен.",AT335,IF(Главная!$P$9="рублей.",AM335,AT335)))</f>
        <v>2.59</v>
      </c>
      <c r="O335" s="162">
        <f>IF(Главная!$P$9="Дол.",BC335,IF(Главная!$P$9="гривен.",AU335,IF(Главная!$P$9="рублей.",AN335,AU335)))</f>
        <v>2.59</v>
      </c>
      <c r="P335" s="141">
        <v>2.12</v>
      </c>
      <c r="Q335" s="141">
        <v>2.12</v>
      </c>
      <c r="AP335" s="144" t="s">
        <v>2186</v>
      </c>
      <c r="AQ335" s="141">
        <v>2.59</v>
      </c>
      <c r="AR335" s="141">
        <v>2.59</v>
      </c>
      <c r="AS335" s="141">
        <v>2.59</v>
      </c>
      <c r="AT335" s="141">
        <v>2.59</v>
      </c>
      <c r="AU335" s="141">
        <v>2.59</v>
      </c>
      <c r="AV335" s="141">
        <v>2.59</v>
      </c>
      <c r="AW335" s="141">
        <v>2.59</v>
      </c>
      <c r="AX335" s="126" t="s">
        <v>2588</v>
      </c>
    </row>
    <row r="336" spans="1:50" s="140" customFormat="1" ht="12.75" customHeight="1">
      <c r="A336" s="150" t="str">
        <f>IF(Главная!$P$9="Дол.",AX336,IF(Главная!$P$9="гривен.",AP336,IF(Главная!$P$9="рублей.",AI336,AP336)))</f>
        <v>Чортков</v>
      </c>
      <c r="B336" s="141">
        <v>2.23</v>
      </c>
      <c r="J336" s="141">
        <v>2.23</v>
      </c>
      <c r="K336" s="162">
        <f>IF(Главная!$P$9="Дол.",AY336,IF(Главная!$P$9="гривен.",AQ336,IF(Главная!$P$9="рублей.",AJ336,AQ336)))</f>
        <v>2.59</v>
      </c>
      <c r="L336" s="162">
        <f>IF(Главная!$P$9="Дол.",AZ336,IF(Главная!$P$9="гривен.",AR336,IF(Главная!$P$9="рублей.",AK336,AR336)))</f>
        <v>2.59</v>
      </c>
      <c r="M336" s="162">
        <f>IF(Главная!$P$9="Дол.",BA336,IF(Главная!$P$9="гривен.",AS336,IF(Главная!$P$9="рублей.",AL336,AS336)))</f>
        <v>2.59</v>
      </c>
      <c r="N336" s="162">
        <f>IF(Главная!$P$9="Дол.",BB336,IF(Главная!$P$9="гривен.",AT336,IF(Главная!$P$9="рублей.",AM336,AT336)))</f>
        <v>2.59</v>
      </c>
      <c r="O336" s="162">
        <f>IF(Главная!$P$9="Дол.",BC336,IF(Главная!$P$9="гривен.",AU336,IF(Главная!$P$9="рублей.",AN336,AU336)))</f>
        <v>2.59</v>
      </c>
      <c r="P336" s="141">
        <v>2.23</v>
      </c>
      <c r="Q336" s="141">
        <v>2.23</v>
      </c>
      <c r="AP336" s="144" t="s">
        <v>2185</v>
      </c>
      <c r="AQ336" s="141">
        <v>2.59</v>
      </c>
      <c r="AR336" s="141">
        <v>2.59</v>
      </c>
      <c r="AS336" s="141">
        <v>2.59</v>
      </c>
      <c r="AT336" s="141">
        <v>2.59</v>
      </c>
      <c r="AU336" s="141">
        <v>2.59</v>
      </c>
      <c r="AV336" s="141">
        <v>2.59</v>
      </c>
      <c r="AW336" s="141">
        <v>2.59</v>
      </c>
      <c r="AX336" s="126" t="s">
        <v>2589</v>
      </c>
    </row>
    <row r="337" spans="1:50" s="140" customFormat="1" ht="12.75" customHeight="1">
      <c r="A337" s="150" t="str">
        <f>IF(Главная!$P$9="Дол.",AX337,IF(Главная!$P$9="гривен.",AP337,IF(Главная!$P$9="рублей.",AI337,AP337)))</f>
        <v>Чугуев</v>
      </c>
      <c r="B337" s="141">
        <v>2.12</v>
      </c>
      <c r="J337" s="141">
        <v>2.12</v>
      </c>
      <c r="K337" s="162">
        <f>IF(Главная!$P$9="Дол.",AY337,IF(Главная!$P$9="гривен.",AQ337,IF(Главная!$P$9="рублей.",AJ337,AQ337)))</f>
        <v>1.21</v>
      </c>
      <c r="L337" s="162">
        <f>IF(Главная!$P$9="Дол.",AZ337,IF(Главная!$P$9="гривен.",AR337,IF(Главная!$P$9="рублей.",AK337,AR337)))</f>
        <v>1.21</v>
      </c>
      <c r="M337" s="162">
        <f>IF(Главная!$P$9="Дол.",BA337,IF(Главная!$P$9="гривен.",AS337,IF(Главная!$P$9="рублей.",AL337,AS337)))</f>
        <v>1.21</v>
      </c>
      <c r="N337" s="162">
        <f>IF(Главная!$P$9="Дол.",BB337,IF(Главная!$P$9="гривен.",AT337,IF(Главная!$P$9="рублей.",AM337,AT337)))</f>
        <v>1.21</v>
      </c>
      <c r="O337" s="162">
        <f>IF(Главная!$P$9="Дол.",BC337,IF(Главная!$P$9="гривен.",AU337,IF(Главная!$P$9="рублей.",AN337,AU337)))</f>
        <v>1.21</v>
      </c>
      <c r="P337" s="141">
        <v>2.12</v>
      </c>
      <c r="Q337" s="141">
        <v>2.12</v>
      </c>
      <c r="AP337" s="144" t="s">
        <v>2184</v>
      </c>
      <c r="AQ337" s="141">
        <v>1.21</v>
      </c>
      <c r="AR337" s="141">
        <v>1.21</v>
      </c>
      <c r="AS337" s="141">
        <v>1.21</v>
      </c>
      <c r="AT337" s="141">
        <v>1.21</v>
      </c>
      <c r="AU337" s="141">
        <v>1.21</v>
      </c>
      <c r="AV337" s="141">
        <v>1.21</v>
      </c>
      <c r="AW337" s="141">
        <v>1.21</v>
      </c>
      <c r="AX337" s="126" t="s">
        <v>2590</v>
      </c>
    </row>
    <row r="338" spans="1:50" s="140" customFormat="1" ht="12.75" customHeight="1">
      <c r="A338" s="150" t="str">
        <f>IF(Главная!$P$9="Дол.",AX338,IF(Главная!$P$9="гривен.",AP338,IF(Главная!$P$9="рублей.",AI338,AP338)))</f>
        <v>Чуднов</v>
      </c>
      <c r="B338" s="141">
        <v>1.86</v>
      </c>
      <c r="J338" s="141">
        <v>1.86</v>
      </c>
      <c r="K338" s="162">
        <f>IF(Главная!$P$9="Дол.",AY338,IF(Главная!$P$9="гривен.",AQ338,IF(Главная!$P$9="рублей.",AJ338,AQ338)))</f>
        <v>1.74</v>
      </c>
      <c r="L338" s="162">
        <f>IF(Главная!$P$9="Дол.",AZ338,IF(Главная!$P$9="гривен.",AR338,IF(Главная!$P$9="рублей.",AK338,AR338)))</f>
        <v>1.74</v>
      </c>
      <c r="M338" s="162">
        <f>IF(Главная!$P$9="Дол.",BA338,IF(Главная!$P$9="гривен.",AS338,IF(Главная!$P$9="рублей.",AL338,AS338)))</f>
        <v>1.74</v>
      </c>
      <c r="N338" s="162">
        <f>IF(Главная!$P$9="Дол.",BB338,IF(Главная!$P$9="гривен.",AT338,IF(Главная!$P$9="рублей.",AM338,AT338)))</f>
        <v>1.74</v>
      </c>
      <c r="O338" s="162">
        <f>IF(Главная!$P$9="Дол.",BC338,IF(Главная!$P$9="гривен.",AU338,IF(Главная!$P$9="рублей.",AN338,AU338)))</f>
        <v>1.74</v>
      </c>
      <c r="P338" s="141">
        <v>1.86</v>
      </c>
      <c r="Q338" s="141">
        <v>1.86</v>
      </c>
      <c r="AP338" s="144" t="s">
        <v>2183</v>
      </c>
      <c r="AQ338" s="141">
        <v>1.74</v>
      </c>
      <c r="AR338" s="141">
        <v>1.74</v>
      </c>
      <c r="AS338" s="141">
        <v>1.74</v>
      </c>
      <c r="AT338" s="141">
        <v>1.74</v>
      </c>
      <c r="AU338" s="141">
        <v>1.74</v>
      </c>
      <c r="AV338" s="141">
        <v>1.74</v>
      </c>
      <c r="AW338" s="141">
        <v>1.74</v>
      </c>
      <c r="AX338" s="126" t="s">
        <v>2583</v>
      </c>
    </row>
    <row r="339" spans="1:50" s="140" customFormat="1" ht="12.75" customHeight="1">
      <c r="A339" s="150" t="str">
        <f>IF(Главная!$P$9="Дол.",AX339,IF(Главная!$P$9="гривен.",AP339,IF(Главная!$P$9="рублей.",AI339,AP339)))</f>
        <v>Шаргород</v>
      </c>
      <c r="B339" s="141">
        <v>2.12</v>
      </c>
      <c r="J339" s="141">
        <v>2.12</v>
      </c>
      <c r="K339" s="162">
        <f>IF(Главная!$P$9="Дол.",AY339,IF(Главная!$P$9="гривен.",AQ339,IF(Главная!$P$9="рублей.",AJ339,AQ339)))</f>
        <v>2.23</v>
      </c>
      <c r="L339" s="162">
        <f>IF(Главная!$P$9="Дол.",AZ339,IF(Главная!$P$9="гривен.",AR339,IF(Главная!$P$9="рублей.",AK339,AR339)))</f>
        <v>2.23</v>
      </c>
      <c r="M339" s="162">
        <f>IF(Главная!$P$9="Дол.",BA339,IF(Главная!$P$9="гривен.",AS339,IF(Главная!$P$9="рублей.",AL339,AS339)))</f>
        <v>2.23</v>
      </c>
      <c r="N339" s="162">
        <f>IF(Главная!$P$9="Дол.",BB339,IF(Главная!$P$9="гривен.",AT339,IF(Главная!$P$9="рублей.",AM339,AT339)))</f>
        <v>2.23</v>
      </c>
      <c r="O339" s="162">
        <f>IF(Главная!$P$9="Дол.",BC339,IF(Главная!$P$9="гривен.",AU339,IF(Главная!$P$9="рублей.",AN339,AU339)))</f>
        <v>2.23</v>
      </c>
      <c r="P339" s="141">
        <v>2.12</v>
      </c>
      <c r="Q339" s="141">
        <v>2.12</v>
      </c>
      <c r="AP339" s="144" t="s">
        <v>2182</v>
      </c>
      <c r="AQ339" s="141">
        <v>2.23</v>
      </c>
      <c r="AR339" s="141">
        <v>2.23</v>
      </c>
      <c r="AS339" s="141">
        <v>2.23</v>
      </c>
      <c r="AT339" s="141">
        <v>2.23</v>
      </c>
      <c r="AU339" s="141">
        <v>2.23</v>
      </c>
      <c r="AV339" s="141">
        <v>2.23</v>
      </c>
      <c r="AW339" s="141">
        <v>2.23</v>
      </c>
      <c r="AX339" s="126" t="s">
        <v>2584</v>
      </c>
    </row>
    <row r="340" spans="1:50" s="140" customFormat="1" ht="12.75" customHeight="1">
      <c r="A340" s="150" t="str">
        <f>IF(Главная!$P$9="Дол.",AX340,IF(Главная!$P$9="гривен.",AP340,IF(Главная!$P$9="рублей.",AI340,AP340)))</f>
        <v>Шахтёрск</v>
      </c>
      <c r="B340" s="141">
        <v>1.21</v>
      </c>
      <c r="J340" s="141">
        <v>1.21</v>
      </c>
      <c r="K340" s="162">
        <f>IF(Главная!$P$9="Дол.",AY340,IF(Главная!$P$9="гривен.",AQ340,IF(Главная!$P$9="рублей.",AJ340,AQ340)))</f>
        <v>2.23</v>
      </c>
      <c r="L340" s="162">
        <f>IF(Главная!$P$9="Дол.",AZ340,IF(Главная!$P$9="гривен.",AR340,IF(Главная!$P$9="рублей.",AK340,AR340)))</f>
        <v>2.23</v>
      </c>
      <c r="M340" s="162">
        <f>IF(Главная!$P$9="Дол.",BA340,IF(Главная!$P$9="гривен.",AS340,IF(Главная!$P$9="рублей.",AL340,AS340)))</f>
        <v>2.23</v>
      </c>
      <c r="N340" s="162">
        <f>IF(Главная!$P$9="Дол.",BB340,IF(Главная!$P$9="гривен.",AT340,IF(Главная!$P$9="рублей.",AM340,AT340)))</f>
        <v>2.23</v>
      </c>
      <c r="O340" s="162">
        <f>IF(Главная!$P$9="Дол.",BC340,IF(Главная!$P$9="гривен.",AU340,IF(Главная!$P$9="рублей.",AN340,AU340)))</f>
        <v>2.23</v>
      </c>
      <c r="P340" s="141">
        <v>1.21</v>
      </c>
      <c r="Q340" s="141">
        <v>1.21</v>
      </c>
      <c r="AP340" s="144" t="s">
        <v>2181</v>
      </c>
      <c r="AQ340" s="141">
        <v>2.23</v>
      </c>
      <c r="AR340" s="141">
        <v>2.23</v>
      </c>
      <c r="AS340" s="141">
        <v>2.23</v>
      </c>
      <c r="AT340" s="141">
        <v>2.23</v>
      </c>
      <c r="AU340" s="141">
        <v>2.23</v>
      </c>
      <c r="AV340" s="141">
        <v>2.23</v>
      </c>
      <c r="AW340" s="141">
        <v>2.23</v>
      </c>
      <c r="AX340" s="126" t="s">
        <v>2585</v>
      </c>
    </row>
    <row r="341" spans="1:50" s="140" customFormat="1" ht="12.75" customHeight="1">
      <c r="A341" s="150" t="str">
        <f>IF(Главная!$P$9="Дол.",AX341,IF(Главная!$P$9="гривен.",AP341,IF(Главная!$P$9="рублей.",AI341,AP341)))</f>
        <v>Шепетовка</v>
      </c>
      <c r="B341" s="141">
        <v>2.23</v>
      </c>
      <c r="J341" s="141">
        <v>2.23</v>
      </c>
      <c r="K341" s="162">
        <f>IF(Главная!$P$9="Дол.",AY341,IF(Главная!$P$9="гривен.",AQ341,IF(Главная!$P$9="рублей.",AJ341,AQ341)))</f>
        <v>2.12</v>
      </c>
      <c r="L341" s="162">
        <f>IF(Главная!$P$9="Дол.",AZ341,IF(Главная!$P$9="гривен.",AR341,IF(Главная!$P$9="рублей.",AK341,AR341)))</f>
        <v>2.12</v>
      </c>
      <c r="M341" s="162">
        <f>IF(Главная!$P$9="Дол.",BA341,IF(Главная!$P$9="гривен.",AS341,IF(Главная!$P$9="рублей.",AL341,AS341)))</f>
        <v>2.12</v>
      </c>
      <c r="N341" s="162">
        <f>IF(Главная!$P$9="Дол.",BB341,IF(Главная!$P$9="гривен.",AT341,IF(Главная!$P$9="рублей.",AM341,AT341)))</f>
        <v>2.12</v>
      </c>
      <c r="O341" s="162">
        <f>IF(Главная!$P$9="Дол.",BC341,IF(Главная!$P$9="гривен.",AU341,IF(Главная!$P$9="рублей.",AN341,AU341)))</f>
        <v>2.12</v>
      </c>
      <c r="P341" s="141">
        <v>2.23</v>
      </c>
      <c r="Q341" s="141">
        <v>2.23</v>
      </c>
      <c r="AP341" s="144" t="s">
        <v>2180</v>
      </c>
      <c r="AQ341" s="141">
        <v>2.12</v>
      </c>
      <c r="AR341" s="141">
        <v>2.12</v>
      </c>
      <c r="AS341" s="141">
        <v>2.12</v>
      </c>
      <c r="AT341" s="141">
        <v>2.12</v>
      </c>
      <c r="AU341" s="141">
        <v>2.12</v>
      </c>
      <c r="AV341" s="141">
        <v>2.12</v>
      </c>
      <c r="AW341" s="141">
        <v>2.12</v>
      </c>
      <c r="AX341" s="126" t="s">
        <v>2586</v>
      </c>
    </row>
    <row r="342" spans="1:50" s="140" customFormat="1" ht="12.75" customHeight="1">
      <c r="A342" s="150" t="str">
        <f>IF(Главная!$P$9="Дол.",AX342,IF(Главная!$P$9="гривен.",AP342,IF(Главная!$P$9="рублей.",AI342,AP342)))</f>
        <v>Шишаки</v>
      </c>
      <c r="B342" s="141">
        <v>2.12</v>
      </c>
      <c r="J342" s="141">
        <v>2.12</v>
      </c>
      <c r="K342" s="162">
        <f>IF(Главная!$P$9="Дол.",AY342,IF(Главная!$P$9="гривен.",AQ342,IF(Главная!$P$9="рублей.",AJ342,AQ342)))</f>
        <v>1.21</v>
      </c>
      <c r="L342" s="162">
        <f>IF(Главная!$P$9="Дол.",AZ342,IF(Главная!$P$9="гривен.",AR342,IF(Главная!$P$9="рублей.",AK342,AR342)))</f>
        <v>1.21</v>
      </c>
      <c r="M342" s="162">
        <f>IF(Главная!$P$9="Дол.",BA342,IF(Главная!$P$9="гривен.",AS342,IF(Главная!$P$9="рублей.",AL342,AS342)))</f>
        <v>1.21</v>
      </c>
      <c r="N342" s="162">
        <f>IF(Главная!$P$9="Дол.",BB342,IF(Главная!$P$9="гривен.",AT342,IF(Главная!$P$9="рублей.",AM342,AT342)))</f>
        <v>1.21</v>
      </c>
      <c r="O342" s="162">
        <f>IF(Главная!$P$9="Дол.",BC342,IF(Главная!$P$9="гривен.",AU342,IF(Главная!$P$9="рублей.",AN342,AU342)))</f>
        <v>1.21</v>
      </c>
      <c r="P342" s="141">
        <v>2.12</v>
      </c>
      <c r="Q342" s="141">
        <v>2.12</v>
      </c>
      <c r="AP342" s="144" t="s">
        <v>2179</v>
      </c>
      <c r="AQ342" s="141">
        <v>1.21</v>
      </c>
      <c r="AR342" s="141">
        <v>1.21</v>
      </c>
      <c r="AS342" s="141">
        <v>1.21</v>
      </c>
      <c r="AT342" s="141">
        <v>1.21</v>
      </c>
      <c r="AU342" s="141">
        <v>1.21</v>
      </c>
      <c r="AV342" s="141">
        <v>1.21</v>
      </c>
      <c r="AW342" s="141">
        <v>1.21</v>
      </c>
      <c r="AX342" s="126" t="s">
        <v>2587</v>
      </c>
    </row>
    <row r="343" spans="1:50" s="140" customFormat="1" ht="12.75" customHeight="1">
      <c r="A343" s="150" t="str">
        <f>IF(Главная!$P$9="Дол.",AX343,IF(Главная!$P$9="гривен.",AP343,IF(Главная!$P$9="рублей.",AI343,AP343)))</f>
        <v>Шостка</v>
      </c>
      <c r="B343" s="141">
        <v>2.12</v>
      </c>
      <c r="J343" s="141">
        <v>2.12</v>
      </c>
      <c r="K343" s="162">
        <f>IF(Главная!$P$9="Дол.",AY343,IF(Главная!$P$9="гривен.",AQ343,IF(Главная!$P$9="рублей.",AJ343,AQ343)))</f>
        <v>1.21</v>
      </c>
      <c r="L343" s="162">
        <f>IF(Главная!$P$9="Дол.",AZ343,IF(Главная!$P$9="гривен.",AR343,IF(Главная!$P$9="рублей.",AK343,AR343)))</f>
        <v>1.21</v>
      </c>
      <c r="M343" s="162">
        <f>IF(Главная!$P$9="Дол.",BA343,IF(Главная!$P$9="гривен.",AS343,IF(Главная!$P$9="рублей.",AL343,AS343)))</f>
        <v>1.21</v>
      </c>
      <c r="N343" s="162">
        <f>IF(Главная!$P$9="Дол.",BB343,IF(Главная!$P$9="гривен.",AT343,IF(Главная!$P$9="рублей.",AM343,AT343)))</f>
        <v>1.21</v>
      </c>
      <c r="O343" s="162">
        <f>IF(Главная!$P$9="Дол.",BC343,IF(Главная!$P$9="гривен.",AU343,IF(Главная!$P$9="рублей.",AN343,AU343)))</f>
        <v>1.21</v>
      </c>
      <c r="P343" s="141">
        <v>2.12</v>
      </c>
      <c r="Q343" s="141">
        <v>2.12</v>
      </c>
      <c r="AP343" s="144" t="s">
        <v>2178</v>
      </c>
      <c r="AQ343" s="141">
        <v>1.21</v>
      </c>
      <c r="AR343" s="141">
        <v>1.21</v>
      </c>
      <c r="AS343" s="141">
        <v>1.21</v>
      </c>
      <c r="AT343" s="141">
        <v>1.21</v>
      </c>
      <c r="AU343" s="141">
        <v>1.21</v>
      </c>
      <c r="AV343" s="141">
        <v>1.21</v>
      </c>
      <c r="AW343" s="141">
        <v>1.21</v>
      </c>
      <c r="AX343" s="126" t="s">
        <v>2588</v>
      </c>
    </row>
    <row r="344" spans="1:50" s="140" customFormat="1" ht="12.75" customHeight="1">
      <c r="A344" s="150" t="str">
        <f>IF(Главная!$P$9="Дол.",AX344,IF(Главная!$P$9="гривен.",AP344,IF(Главная!$P$9="рублей.",AI344,AP344)))</f>
        <v>Шпола</v>
      </c>
      <c r="B344" s="141">
        <v>1.21</v>
      </c>
      <c r="J344" s="141">
        <v>1.21</v>
      </c>
      <c r="K344" s="162">
        <f>IF(Главная!$P$9="Дол.",AY344,IF(Главная!$P$9="гривен.",AQ344,IF(Главная!$P$9="рублей.",AJ344,AQ344)))</f>
        <v>1.21</v>
      </c>
      <c r="L344" s="162">
        <f>IF(Главная!$P$9="Дол.",AZ344,IF(Главная!$P$9="гривен.",AR344,IF(Главная!$P$9="рублей.",AK344,AR344)))</f>
        <v>1.21</v>
      </c>
      <c r="M344" s="162">
        <f>IF(Главная!$P$9="Дол.",BA344,IF(Главная!$P$9="гривен.",AS344,IF(Главная!$P$9="рублей.",AL344,AS344)))</f>
        <v>1.21</v>
      </c>
      <c r="N344" s="162">
        <f>IF(Главная!$P$9="Дол.",BB344,IF(Главная!$P$9="гривен.",AT344,IF(Главная!$P$9="рублей.",AM344,AT344)))</f>
        <v>1.21</v>
      </c>
      <c r="O344" s="162">
        <f>IF(Главная!$P$9="Дол.",BC344,IF(Главная!$P$9="гривен.",AU344,IF(Главная!$P$9="рублей.",AN344,AU344)))</f>
        <v>1.21</v>
      </c>
      <c r="P344" s="141">
        <v>1.21</v>
      </c>
      <c r="Q344" s="141">
        <v>1.21</v>
      </c>
      <c r="AP344" s="144" t="s">
        <v>2177</v>
      </c>
      <c r="AQ344" s="141">
        <v>1.21</v>
      </c>
      <c r="AR344" s="141">
        <v>1.21</v>
      </c>
      <c r="AS344" s="141">
        <v>1.21</v>
      </c>
      <c r="AT344" s="141">
        <v>1.21</v>
      </c>
      <c r="AU344" s="141">
        <v>1.21</v>
      </c>
      <c r="AV344" s="141">
        <v>1.21</v>
      </c>
      <c r="AW344" s="141">
        <v>1.21</v>
      </c>
      <c r="AX344" s="126" t="s">
        <v>2589</v>
      </c>
    </row>
    <row r="345" spans="1:50" s="140" customFormat="1" ht="12.75" customHeight="1">
      <c r="A345" s="150" t="str">
        <f>IF(Главная!$P$9="Дол.",AX345,IF(Главная!$P$9="гривен.",AP345,IF(Главная!$P$9="рублей.",AI345,AP345)))</f>
        <v>Щорс</v>
      </c>
      <c r="B345" s="141">
        <v>2.12</v>
      </c>
      <c r="J345" s="141">
        <v>2.12</v>
      </c>
      <c r="K345" s="162">
        <f>IF(Главная!$P$9="Дол.",AY345,IF(Главная!$P$9="гривен.",AQ345,IF(Главная!$P$9="рублей.",AJ345,AQ345)))</f>
        <v>1.74</v>
      </c>
      <c r="L345" s="162">
        <f>IF(Главная!$P$9="Дол.",AZ345,IF(Главная!$P$9="гривен.",AR345,IF(Главная!$P$9="рублей.",AK345,AR345)))</f>
        <v>1.74</v>
      </c>
      <c r="M345" s="162">
        <f>IF(Главная!$P$9="Дол.",BA345,IF(Главная!$P$9="гривен.",AS345,IF(Главная!$P$9="рублей.",AL345,AS345)))</f>
        <v>1.74</v>
      </c>
      <c r="N345" s="162">
        <f>IF(Главная!$P$9="Дол.",BB345,IF(Главная!$P$9="гривен.",AT345,IF(Главная!$P$9="рублей.",AM345,AT345)))</f>
        <v>1.74</v>
      </c>
      <c r="O345" s="162">
        <f>IF(Главная!$P$9="Дол.",BC345,IF(Главная!$P$9="гривен.",AU345,IF(Главная!$P$9="рублей.",AN345,AU345)))</f>
        <v>1.74</v>
      </c>
      <c r="P345" s="141">
        <v>2.12</v>
      </c>
      <c r="Q345" s="141">
        <v>2.12</v>
      </c>
      <c r="AP345" s="144" t="s">
        <v>2176</v>
      </c>
      <c r="AQ345" s="141">
        <v>1.74</v>
      </c>
      <c r="AR345" s="141">
        <v>1.74</v>
      </c>
      <c r="AS345" s="141">
        <v>1.74</v>
      </c>
      <c r="AT345" s="141">
        <v>1.74</v>
      </c>
      <c r="AU345" s="141">
        <v>1.74</v>
      </c>
      <c r="AV345" s="141">
        <v>1.74</v>
      </c>
      <c r="AW345" s="141">
        <v>1.74</v>
      </c>
      <c r="AX345" s="126" t="s">
        <v>2590</v>
      </c>
    </row>
    <row r="346" spans="1:50" s="140" customFormat="1" ht="12.75" customHeight="1">
      <c r="A346" s="150" t="str">
        <f>IF(Главная!$P$9="Дол.",AX346,IF(Главная!$P$9="гривен.",AP346,IF(Главная!$P$9="рублей.",AI346,AP346)))</f>
        <v>Энергодар</v>
      </c>
      <c r="B346" s="141">
        <v>2.12</v>
      </c>
      <c r="J346" s="141">
        <v>2.12</v>
      </c>
      <c r="K346" s="162">
        <f>IF(Главная!$P$9="Дол.",AY346,IF(Главная!$P$9="гривен.",AQ346,IF(Главная!$P$9="рублей.",AJ346,AQ346)))</f>
        <v>2.59</v>
      </c>
      <c r="L346" s="162">
        <f>IF(Главная!$P$9="Дол.",AZ346,IF(Главная!$P$9="гривен.",AR346,IF(Главная!$P$9="рублей.",AK346,AR346)))</f>
        <v>2.59</v>
      </c>
      <c r="M346" s="162">
        <f>IF(Главная!$P$9="Дол.",BA346,IF(Главная!$P$9="гривен.",AS346,IF(Главная!$P$9="рублей.",AL346,AS346)))</f>
        <v>2.59</v>
      </c>
      <c r="N346" s="162">
        <f>IF(Главная!$P$9="Дол.",BB346,IF(Главная!$P$9="гривен.",AT346,IF(Главная!$P$9="рублей.",AM346,AT346)))</f>
        <v>2.59</v>
      </c>
      <c r="O346" s="162">
        <f>IF(Главная!$P$9="Дол.",BC346,IF(Главная!$P$9="гривен.",AU346,IF(Главная!$P$9="рублей.",AN346,AU346)))</f>
        <v>2.59</v>
      </c>
      <c r="P346" s="141">
        <v>2.12</v>
      </c>
      <c r="Q346" s="141">
        <v>2.12</v>
      </c>
      <c r="AP346" s="144" t="s">
        <v>2175</v>
      </c>
      <c r="AQ346" s="141">
        <v>2.59</v>
      </c>
      <c r="AR346" s="141">
        <v>2.59</v>
      </c>
      <c r="AS346" s="141">
        <v>2.59</v>
      </c>
      <c r="AT346" s="141">
        <v>2.59</v>
      </c>
      <c r="AU346" s="141">
        <v>2.59</v>
      </c>
      <c r="AV346" s="141">
        <v>2.59</v>
      </c>
      <c r="AW346" s="141">
        <v>2.59</v>
      </c>
      <c r="AX346" s="126" t="s">
        <v>2583</v>
      </c>
    </row>
    <row r="347" spans="1:50" s="140" customFormat="1" ht="12.75" customHeight="1">
      <c r="A347" s="150" t="str">
        <f>IF(Главная!$P$9="Дол.",AX347,IF(Главная!$P$9="гривен.",AP347,IF(Главная!$P$9="рублей.",AI347,AP347)))</f>
        <v>Южноукраинск</v>
      </c>
      <c r="B347" s="141">
        <v>1.74</v>
      </c>
      <c r="J347" s="141">
        <v>1.74</v>
      </c>
      <c r="K347" s="162">
        <f>IF(Главная!$P$9="Дол.",AY347,IF(Главная!$P$9="гривен.",AQ347,IF(Главная!$P$9="рублей.",AJ347,AQ347)))</f>
        <v>1.74</v>
      </c>
      <c r="L347" s="162">
        <f>IF(Главная!$P$9="Дол.",AZ347,IF(Главная!$P$9="гривен.",AR347,IF(Главная!$P$9="рублей.",AK347,AR347)))</f>
        <v>1.74</v>
      </c>
      <c r="M347" s="162">
        <f>IF(Главная!$P$9="Дол.",BA347,IF(Главная!$P$9="гривен.",AS347,IF(Главная!$P$9="рублей.",AL347,AS347)))</f>
        <v>1.74</v>
      </c>
      <c r="N347" s="162">
        <f>IF(Главная!$P$9="Дол.",BB347,IF(Главная!$P$9="гривен.",AT347,IF(Главная!$P$9="рублей.",AM347,AT347)))</f>
        <v>1.74</v>
      </c>
      <c r="O347" s="162">
        <f>IF(Главная!$P$9="Дол.",BC347,IF(Главная!$P$9="гривен.",AU347,IF(Главная!$P$9="рублей.",AN347,AU347)))</f>
        <v>1.74</v>
      </c>
      <c r="P347" s="141">
        <v>1.74</v>
      </c>
      <c r="Q347" s="141">
        <v>1.74</v>
      </c>
      <c r="AP347" s="144" t="s">
        <v>2174</v>
      </c>
      <c r="AQ347" s="141">
        <v>1.74</v>
      </c>
      <c r="AR347" s="141">
        <v>1.74</v>
      </c>
      <c r="AS347" s="141">
        <v>1.74</v>
      </c>
      <c r="AT347" s="141">
        <v>1.74</v>
      </c>
      <c r="AU347" s="141">
        <v>1.74</v>
      </c>
      <c r="AV347" s="141">
        <v>1.74</v>
      </c>
      <c r="AW347" s="141">
        <v>1.74</v>
      </c>
      <c r="AX347" s="126" t="s">
        <v>2584</v>
      </c>
    </row>
    <row r="348" spans="1:50" s="140" customFormat="1" ht="12.75" customHeight="1">
      <c r="A348" s="150" t="str">
        <f>IF(Главная!$P$9="Дол.",AX348,IF(Главная!$P$9="гривен.",AP348,IF(Главная!$P$9="рублей.",AI348,AP348)))</f>
        <v>Южный</v>
      </c>
      <c r="B348" s="141">
        <v>2.12</v>
      </c>
      <c r="J348" s="141">
        <v>2.12</v>
      </c>
      <c r="K348" s="162">
        <f>IF(Главная!$P$9="Дол.",AY348,IF(Главная!$P$9="гривен.",AQ348,IF(Главная!$P$9="рублей.",AJ348,AQ348)))</f>
        <v>1.86</v>
      </c>
      <c r="L348" s="162">
        <f>IF(Главная!$P$9="Дол.",AZ348,IF(Главная!$P$9="гривен.",AR348,IF(Главная!$P$9="рублей.",AK348,AR348)))</f>
        <v>1.86</v>
      </c>
      <c r="M348" s="162">
        <f>IF(Главная!$P$9="Дол.",BA348,IF(Главная!$P$9="гривен.",AS348,IF(Главная!$P$9="рублей.",AL348,AS348)))</f>
        <v>1.86</v>
      </c>
      <c r="N348" s="162">
        <f>IF(Главная!$P$9="Дол.",BB348,IF(Главная!$P$9="гривен.",AT348,IF(Главная!$P$9="рублей.",AM348,AT348)))</f>
        <v>1.86</v>
      </c>
      <c r="O348" s="162">
        <f>IF(Главная!$P$9="Дол.",BC348,IF(Главная!$P$9="гривен.",AU348,IF(Главная!$P$9="рублей.",AN348,AU348)))</f>
        <v>1.86</v>
      </c>
      <c r="P348" s="141">
        <v>2.12</v>
      </c>
      <c r="Q348" s="141">
        <v>2.12</v>
      </c>
      <c r="AP348" s="144" t="s">
        <v>2173</v>
      </c>
      <c r="AQ348" s="141">
        <v>1.86</v>
      </c>
      <c r="AR348" s="141">
        <v>1.86</v>
      </c>
      <c r="AS348" s="141">
        <v>1.86</v>
      </c>
      <c r="AT348" s="141">
        <v>1.86</v>
      </c>
      <c r="AU348" s="141">
        <v>1.86</v>
      </c>
      <c r="AV348" s="141">
        <v>1.86</v>
      </c>
      <c r="AW348" s="141">
        <v>1.86</v>
      </c>
      <c r="AX348" s="126" t="s">
        <v>2585</v>
      </c>
    </row>
    <row r="349" spans="1:50" s="140" customFormat="1" ht="12.75" customHeight="1">
      <c r="A349" s="150" t="str">
        <f>IF(Главная!$P$9="Дол.",AX349,IF(Главная!$P$9="гривен.",AP349,IF(Главная!$P$9="рублей.",AI349,AP349)))</f>
        <v>Яворов</v>
      </c>
      <c r="B349" s="141">
        <v>1.86</v>
      </c>
      <c r="J349" s="141">
        <v>1.86</v>
      </c>
      <c r="K349" s="162">
        <f>IF(Главная!$P$9="Дол.",AY349,IF(Главная!$P$9="гривен.",AQ349,IF(Главная!$P$9="рублей.",AJ349,AQ349)))</f>
        <v>2.12</v>
      </c>
      <c r="L349" s="162">
        <f>IF(Главная!$P$9="Дол.",AZ349,IF(Главная!$P$9="гривен.",AR349,IF(Главная!$P$9="рублей.",AK349,AR349)))</f>
        <v>2.12</v>
      </c>
      <c r="M349" s="162">
        <f>IF(Главная!$P$9="Дол.",BA349,IF(Главная!$P$9="гривен.",AS349,IF(Главная!$P$9="рублей.",AL349,AS349)))</f>
        <v>2.12</v>
      </c>
      <c r="N349" s="162">
        <f>IF(Главная!$P$9="Дол.",BB349,IF(Главная!$P$9="гривен.",AT349,IF(Главная!$P$9="рублей.",AM349,AT349)))</f>
        <v>2.12</v>
      </c>
      <c r="O349" s="162">
        <f>IF(Главная!$P$9="Дол.",BC349,IF(Главная!$P$9="гривен.",AU349,IF(Главная!$P$9="рублей.",AN349,AU349)))</f>
        <v>2.12</v>
      </c>
      <c r="P349" s="141">
        <v>1.86</v>
      </c>
      <c r="Q349" s="141">
        <v>1.86</v>
      </c>
      <c r="AP349" s="145" t="s">
        <v>2172</v>
      </c>
      <c r="AQ349" s="141">
        <v>2.12</v>
      </c>
      <c r="AR349" s="141">
        <v>2.12</v>
      </c>
      <c r="AS349" s="141">
        <v>2.12</v>
      </c>
      <c r="AT349" s="141">
        <v>2.12</v>
      </c>
      <c r="AU349" s="141">
        <v>2.12</v>
      </c>
      <c r="AV349" s="141">
        <v>2.12</v>
      </c>
      <c r="AW349" s="141">
        <v>2.12</v>
      </c>
      <c r="AX349" s="126" t="s">
        <v>2586</v>
      </c>
    </row>
    <row r="350" spans="1:50" s="140" customFormat="1" ht="12.75" customHeight="1">
      <c r="A350" s="150" t="str">
        <f>IF(Главная!$P$9="Дол.",AX350,IF(Главная!$P$9="гривен.",AP350,IF(Главная!$P$9="рублей.",AI350,AP350)))</f>
        <v>Яготин</v>
      </c>
      <c r="B350" s="141">
        <v>1.86</v>
      </c>
      <c r="J350" s="141">
        <v>1.86</v>
      </c>
      <c r="K350" s="162">
        <f>IF(Главная!$P$9="Дол.",AY350,IF(Главная!$P$9="гривен.",AQ350,IF(Главная!$P$9="рублей.",AJ350,AQ350)))</f>
        <v>1.74</v>
      </c>
      <c r="L350" s="162">
        <f>IF(Главная!$P$9="Дол.",AZ350,IF(Главная!$P$9="гривен.",AR350,IF(Главная!$P$9="рублей.",AK350,AR350)))</f>
        <v>1.74</v>
      </c>
      <c r="M350" s="162">
        <f>IF(Главная!$P$9="Дол.",BA350,IF(Главная!$P$9="гривен.",AS350,IF(Главная!$P$9="рублей.",AL350,AS350)))</f>
        <v>1.74</v>
      </c>
      <c r="N350" s="162">
        <f>IF(Главная!$P$9="Дол.",BB350,IF(Главная!$P$9="гривен.",AT350,IF(Главная!$P$9="рублей.",AM350,AT350)))</f>
        <v>1.74</v>
      </c>
      <c r="O350" s="162">
        <f>IF(Главная!$P$9="Дол.",BC350,IF(Главная!$P$9="гривен.",AU350,IF(Главная!$P$9="рублей.",AN350,AU350)))</f>
        <v>1.74</v>
      </c>
      <c r="P350" s="141">
        <v>1.86</v>
      </c>
      <c r="Q350" s="141">
        <v>1.86</v>
      </c>
      <c r="AP350" s="144" t="s">
        <v>2171</v>
      </c>
      <c r="AQ350" s="141">
        <v>1.74</v>
      </c>
      <c r="AR350" s="141">
        <v>1.74</v>
      </c>
      <c r="AS350" s="141">
        <v>1.74</v>
      </c>
      <c r="AT350" s="141">
        <v>1.74</v>
      </c>
      <c r="AU350" s="141">
        <v>1.74</v>
      </c>
      <c r="AV350" s="141">
        <v>1.74</v>
      </c>
      <c r="AW350" s="141">
        <v>1.74</v>
      </c>
      <c r="AX350" s="126" t="s">
        <v>2587</v>
      </c>
    </row>
    <row r="351" spans="1:50" s="140" customFormat="1" ht="12.75" customHeight="1">
      <c r="A351" s="150" t="str">
        <f>IF(Главная!$P$9="Дол.",AX351,IF(Главная!$P$9="гривен.",AP351,IF(Главная!$P$9="рублей.",AI351,AP351)))</f>
        <v>Ялта</v>
      </c>
      <c r="B351" s="141">
        <v>2.12</v>
      </c>
      <c r="J351" s="141">
        <v>2.12</v>
      </c>
      <c r="K351" s="162">
        <f>IF(Главная!$P$9="Дол.",AY351,IF(Главная!$P$9="гривен.",AQ351,IF(Главная!$P$9="рублей.",AJ351,AQ351)))</f>
        <v>12</v>
      </c>
      <c r="L351" s="162">
        <f>IF(Главная!$P$9="Дол.",AZ351,IF(Главная!$P$9="гривен.",AR351,IF(Главная!$P$9="рублей.",AK351,AR351)))</f>
        <v>12</v>
      </c>
      <c r="M351" s="162">
        <f>IF(Главная!$P$9="Дол.",BA351,IF(Главная!$P$9="гривен.",AS351,IF(Главная!$P$9="рублей.",AL351,AS351)))</f>
        <v>12</v>
      </c>
      <c r="N351" s="162">
        <f>IF(Главная!$P$9="Дол.",BB351,IF(Главная!$P$9="гривен.",AT351,IF(Главная!$P$9="рублей.",AM351,AT351)))</f>
        <v>12</v>
      </c>
      <c r="O351" s="162">
        <f>IF(Главная!$P$9="Дол.",BC351,IF(Главная!$P$9="гривен.",AU351,IF(Главная!$P$9="рублей.",AN351,AU351)))</f>
        <v>12</v>
      </c>
      <c r="P351" s="141">
        <v>2.12</v>
      </c>
      <c r="Q351" s="141">
        <v>2.12</v>
      </c>
      <c r="AP351" s="144" t="s">
        <v>2170</v>
      </c>
      <c r="AQ351" s="141">
        <v>12</v>
      </c>
      <c r="AR351" s="141">
        <v>12</v>
      </c>
      <c r="AS351" s="141">
        <v>12</v>
      </c>
      <c r="AT351" s="141">
        <v>12</v>
      </c>
      <c r="AU351" s="141">
        <v>12</v>
      </c>
      <c r="AV351" s="141">
        <v>12</v>
      </c>
      <c r="AW351" s="141">
        <v>12</v>
      </c>
      <c r="AX351" s="126" t="s">
        <v>2588</v>
      </c>
    </row>
    <row r="352" spans="1:50" s="140" customFormat="1" ht="12.75" customHeight="1">
      <c r="A352" s="150" t="str">
        <f>IF(Главная!$P$9="Дол.",AX352,IF(Главная!$P$9="гривен.",AP352,IF(Главная!$P$9="рублей.",AI352,AP352)))</f>
        <v>Ямполь</v>
      </c>
      <c r="B352" s="141">
        <v>1.21</v>
      </c>
      <c r="J352" s="141">
        <v>1.21</v>
      </c>
      <c r="K352" s="162">
        <f>IF(Главная!$P$9="Дол.",AY352,IF(Главная!$P$9="гривен.",AQ352,IF(Главная!$P$9="рублей.",AJ352,AQ352)))</f>
        <v>2.23</v>
      </c>
      <c r="L352" s="162">
        <f>IF(Главная!$P$9="Дол.",AZ352,IF(Главная!$P$9="гривен.",AR352,IF(Главная!$P$9="рублей.",AK352,AR352)))</f>
        <v>2.23</v>
      </c>
      <c r="M352" s="162">
        <f>IF(Главная!$P$9="Дол.",BA352,IF(Главная!$P$9="гривен.",AS352,IF(Главная!$P$9="рублей.",AL352,AS352)))</f>
        <v>2.23</v>
      </c>
      <c r="N352" s="162">
        <f>IF(Главная!$P$9="Дол.",BB352,IF(Главная!$P$9="гривен.",AT352,IF(Главная!$P$9="рублей.",AM352,AT352)))</f>
        <v>2.23</v>
      </c>
      <c r="O352" s="162">
        <f>IF(Главная!$P$9="Дол.",BC352,IF(Главная!$P$9="гривен.",AU352,IF(Главная!$P$9="рублей.",AN352,AU352)))</f>
        <v>2.23</v>
      </c>
      <c r="P352" s="141">
        <v>1.21</v>
      </c>
      <c r="Q352" s="141">
        <v>1.21</v>
      </c>
      <c r="AP352" s="144" t="s">
        <v>2169</v>
      </c>
      <c r="AQ352" s="141">
        <v>2.23</v>
      </c>
      <c r="AR352" s="141">
        <v>2.23</v>
      </c>
      <c r="AS352" s="141">
        <v>2.23</v>
      </c>
      <c r="AT352" s="141">
        <v>2.23</v>
      </c>
      <c r="AU352" s="141">
        <v>2.23</v>
      </c>
      <c r="AV352" s="141">
        <v>2.23</v>
      </c>
      <c r="AW352" s="141">
        <v>2.23</v>
      </c>
      <c r="AX352" s="126" t="s">
        <v>2589</v>
      </c>
    </row>
    <row r="353" spans="1:50" s="140" customFormat="1" ht="12.75" customHeight="1">
      <c r="A353" s="150" t="str">
        <f>IF(Главная!$P$9="Дол.",AX353,IF(Главная!$P$9="гривен.",AP353,IF(Главная!$P$9="рублей.",AI353,AP353)))</f>
        <v>Яремча</v>
      </c>
      <c r="B353" s="141">
        <v>1.86</v>
      </c>
      <c r="J353" s="141">
        <v>1.86</v>
      </c>
      <c r="K353" s="162">
        <f>IF(Главная!$P$9="Дол.",AY353,IF(Главная!$P$9="гривен.",AQ353,IF(Главная!$P$9="рублей.",AJ353,AQ353)))</f>
        <v>2.59</v>
      </c>
      <c r="L353" s="162">
        <f>IF(Главная!$P$9="Дол.",AZ353,IF(Главная!$P$9="гривен.",AR353,IF(Главная!$P$9="рублей.",AK353,AR353)))</f>
        <v>2.59</v>
      </c>
      <c r="M353" s="162">
        <f>IF(Главная!$P$9="Дол.",BA353,IF(Главная!$P$9="гривен.",AS353,IF(Главная!$P$9="рублей.",AL353,AS353)))</f>
        <v>2.59</v>
      </c>
      <c r="N353" s="162">
        <f>IF(Главная!$P$9="Дол.",BB353,IF(Главная!$P$9="гривен.",AT353,IF(Главная!$P$9="рублей.",AM353,AT353)))</f>
        <v>2.59</v>
      </c>
      <c r="O353" s="162">
        <f>IF(Главная!$P$9="Дол.",BC353,IF(Главная!$P$9="гривен.",AU353,IF(Главная!$P$9="рублей.",AN353,AU353)))</f>
        <v>2.59</v>
      </c>
      <c r="P353" s="141">
        <v>1.86</v>
      </c>
      <c r="Q353" s="141">
        <v>1.86</v>
      </c>
      <c r="AP353" s="144" t="s">
        <v>2168</v>
      </c>
      <c r="AQ353" s="141">
        <v>2.59</v>
      </c>
      <c r="AR353" s="141">
        <v>2.59</v>
      </c>
      <c r="AS353" s="141">
        <v>2.59</v>
      </c>
      <c r="AT353" s="141">
        <v>2.59</v>
      </c>
      <c r="AU353" s="141">
        <v>2.59</v>
      </c>
      <c r="AV353" s="141">
        <v>2.59</v>
      </c>
      <c r="AW353" s="141">
        <v>2.59</v>
      </c>
      <c r="AX353" s="126" t="s">
        <v>2590</v>
      </c>
    </row>
    <row r="354" spans="1:50" s="140" customFormat="1" ht="12.75" customHeight="1">
      <c r="A354" s="150" t="str">
        <f>IF(Главная!$P$9="Дол.",AX354,IF(Главная!$P$9="гривен.",AP354,IF(Главная!$P$9="рублей.",AI354,AP354)))</f>
        <v>Ясиноватая</v>
      </c>
      <c r="B354" s="141">
        <v>1.86</v>
      </c>
      <c r="J354" s="141">
        <v>1.86</v>
      </c>
      <c r="K354" s="162">
        <f>IF(Главная!$P$9="Дол.",AY354,IF(Главная!$P$9="гривен.",AQ354,IF(Главная!$P$9="рублей.",AJ354,AQ354)))</f>
        <v>1.86</v>
      </c>
      <c r="L354" s="162">
        <f>IF(Главная!$P$9="Дол.",AZ354,IF(Главная!$P$9="гривен.",AR354,IF(Главная!$P$9="рублей.",AK354,AR354)))</f>
        <v>1.86</v>
      </c>
      <c r="M354" s="162">
        <f>IF(Главная!$P$9="Дол.",BA354,IF(Главная!$P$9="гривен.",AS354,IF(Главная!$P$9="рублей.",AL354,AS354)))</f>
        <v>1.86</v>
      </c>
      <c r="N354" s="162">
        <f>IF(Главная!$P$9="Дол.",BB354,IF(Главная!$P$9="гривен.",AT354,IF(Главная!$P$9="рублей.",AM354,AT354)))</f>
        <v>1.86</v>
      </c>
      <c r="O354" s="162">
        <f>IF(Главная!$P$9="Дол.",BC354,IF(Главная!$P$9="гривен.",AU354,IF(Главная!$P$9="рублей.",AN354,AU354)))</f>
        <v>1.86</v>
      </c>
      <c r="P354" s="141">
        <v>1.86</v>
      </c>
      <c r="Q354" s="141">
        <v>1.86</v>
      </c>
      <c r="AP354" s="144" t="s">
        <v>2167</v>
      </c>
      <c r="AQ354" s="143">
        <v>1.86</v>
      </c>
      <c r="AR354" s="143">
        <v>1.86</v>
      </c>
      <c r="AS354" s="143">
        <v>1.86</v>
      </c>
      <c r="AT354" s="143">
        <v>1.86</v>
      </c>
      <c r="AU354" s="143">
        <v>1.86</v>
      </c>
      <c r="AV354" s="143">
        <v>1.86</v>
      </c>
      <c r="AW354" s="143">
        <v>1.86</v>
      </c>
      <c r="AX354" s="126" t="s">
        <v>2583</v>
      </c>
    </row>
    <row r="355" spans="1:50" s="140" customFormat="1" ht="12.75" customHeight="1">
      <c r="A355" s="150" t="str">
        <f>IF(Главная!$P$9="Дол.",AX355,IF(Главная!$P$9="гривен.",AP355,IF(Главная!$P$9="рублей.",AI355,AP355)))</f>
        <v>Ясиня</v>
      </c>
      <c r="B355" s="141">
        <v>2.12</v>
      </c>
      <c r="J355" s="141">
        <v>2.12</v>
      </c>
      <c r="K355" s="162">
        <f>IF(Главная!$P$9="Дол.",AY355,IF(Главная!$P$9="гривен.",AQ355,IF(Главная!$P$9="рублей.",AJ355,AQ355)))</f>
        <v>2.59</v>
      </c>
      <c r="L355" s="162">
        <f>IF(Главная!$P$9="Дол.",AZ355,IF(Главная!$P$9="гривен.",AR355,IF(Главная!$P$9="рублей.",AK355,AR355)))</f>
        <v>2.59</v>
      </c>
      <c r="M355" s="162">
        <f>IF(Главная!$P$9="Дол.",BA355,IF(Главная!$P$9="гривен.",AS355,IF(Главная!$P$9="рублей.",AL355,AS355)))</f>
        <v>2.59</v>
      </c>
      <c r="N355" s="162">
        <f>IF(Главная!$P$9="Дол.",BB355,IF(Главная!$P$9="гривен.",AT355,IF(Главная!$P$9="рублей.",AM355,AT355)))</f>
        <v>2.59</v>
      </c>
      <c r="O355" s="162">
        <f>IF(Главная!$P$9="Дол.",BC355,IF(Главная!$P$9="гривен.",AU355,IF(Главная!$P$9="рублей.",AN355,AU355)))</f>
        <v>2.59</v>
      </c>
      <c r="P355" s="141">
        <v>2.12</v>
      </c>
      <c r="Q355" s="141">
        <v>2.12</v>
      </c>
      <c r="AP355" s="142" t="s">
        <v>2166</v>
      </c>
      <c r="AQ355" s="141">
        <v>2.59</v>
      </c>
      <c r="AR355" s="141">
        <v>2.59</v>
      </c>
      <c r="AS355" s="141">
        <v>2.59</v>
      </c>
      <c r="AT355" s="141">
        <v>2.59</v>
      </c>
      <c r="AU355" s="141">
        <v>2.59</v>
      </c>
      <c r="AV355" s="141">
        <v>2.59</v>
      </c>
      <c r="AW355" s="141">
        <v>2.59</v>
      </c>
      <c r="AX355" s="126" t="s">
        <v>2584</v>
      </c>
    </row>
    <row r="356" spans="1:50" s="140" customFormat="1" ht="12.75" customHeight="1">
      <c r="A356" s="150">
        <f>IF(Главная!$P$9="Дол.",AX356,IF(Главная!$P$9="гривен.",AP356,IF(Главная!$P$9="рублей.",AI356,AP356)))</f>
        <v>0</v>
      </c>
      <c r="B356" s="141">
        <v>1.47</v>
      </c>
      <c r="J356" s="141">
        <v>1.47</v>
      </c>
      <c r="K356" s="162">
        <f>IF(Главная!$P$9="Дол.",AY356,IF(Главная!$P$9="гривен.",AQ356,IF(Главная!$P$9="рублей.",AJ356,AQ356)))</f>
        <v>0</v>
      </c>
      <c r="L356" s="162">
        <f>IF(Главная!$P$9="Дол.",AZ356,IF(Главная!$P$9="гривен.",AR356,IF(Главная!$P$9="рублей.",AK356,AR356)))</f>
        <v>0</v>
      </c>
      <c r="M356" s="162">
        <f>IF(Главная!$P$9="Дол.",BA356,IF(Главная!$P$9="гривен.",AS356,IF(Главная!$P$9="рублей.",AL356,AS356)))</f>
        <v>0</v>
      </c>
      <c r="N356" s="162">
        <f>IF(Главная!$P$9="Дол.",BB356,IF(Главная!$P$9="гривен.",AT356,IF(Главная!$P$9="рублей.",AM356,AT356)))</f>
        <v>0</v>
      </c>
      <c r="O356" s="162">
        <f>IF(Главная!$P$9="Дол.",BC356,IF(Главная!$P$9="гривен.",AU356,IF(Главная!$P$9="рублей.",AN356,AU356)))</f>
        <v>0</v>
      </c>
      <c r="P356" s="141">
        <v>1.47</v>
      </c>
      <c r="Q356" s="141">
        <v>1.47</v>
      </c>
    </row>
    <row r="357" spans="1:50" s="140" customFormat="1" ht="12.75" customHeight="1">
      <c r="A357" s="150">
        <f>IF(Главная!$P$9="Дол.",AX357,IF(Главная!$P$9="гривен.",AP357,IF(Главная!$P$9="рублей.",AI357,AP357)))</f>
        <v>0</v>
      </c>
      <c r="B357" s="141">
        <v>2.95</v>
      </c>
      <c r="J357" s="141">
        <v>2.95</v>
      </c>
      <c r="K357" s="162">
        <f>IF(Главная!$P$9="Дол.",AY357,IF(Главная!$P$9="гривен.",AQ357,IF(Главная!$P$9="рублей.",AJ357,AQ357)))</f>
        <v>0</v>
      </c>
      <c r="L357" s="162">
        <f>IF(Главная!$P$9="Дол.",AZ357,IF(Главная!$P$9="гривен.",AR357,IF(Главная!$P$9="рублей.",AK357,AR357)))</f>
        <v>0</v>
      </c>
      <c r="M357" s="162">
        <f>IF(Главная!$P$9="Дол.",BA357,IF(Главная!$P$9="гривен.",AS357,IF(Главная!$P$9="рублей.",AL357,AS357)))</f>
        <v>0</v>
      </c>
      <c r="N357" s="162">
        <f>IF(Главная!$P$9="Дол.",BB357,IF(Главная!$P$9="гривен.",AT357,IF(Главная!$P$9="рублей.",AM357,AT357)))</f>
        <v>0</v>
      </c>
      <c r="O357" s="162">
        <f>IF(Главная!$P$9="Дол.",BC357,IF(Главная!$P$9="гривен.",AU357,IF(Главная!$P$9="рублей.",AN357,AU357)))</f>
        <v>0</v>
      </c>
      <c r="P357" s="141">
        <v>2.95</v>
      </c>
      <c r="Q357" s="141">
        <v>2.95</v>
      </c>
    </row>
    <row r="358" spans="1:50" s="140" customFormat="1" ht="12.75" customHeight="1">
      <c r="A358" s="150">
        <f>IF(Главная!$P$9="Дол.",AX358,IF(Главная!$P$9="гривен.",AP358,IF(Главная!$P$9="рублей.",AI358,AP358)))</f>
        <v>0</v>
      </c>
      <c r="B358" s="141">
        <v>1.74</v>
      </c>
      <c r="J358" s="141">
        <v>1.74</v>
      </c>
      <c r="K358" s="162">
        <f>IF(Главная!$P$9="Дол.",AY358,IF(Главная!$P$9="гривен.",AQ358,IF(Главная!$P$9="рублей.",AJ358,AQ358)))</f>
        <v>0</v>
      </c>
      <c r="L358" s="162">
        <f>IF(Главная!$P$9="Дол.",AZ358,IF(Главная!$P$9="гривен.",AR358,IF(Главная!$P$9="рублей.",AK358,AR358)))</f>
        <v>0</v>
      </c>
      <c r="M358" s="162">
        <f>IF(Главная!$P$9="Дол.",BA358,IF(Главная!$P$9="гривен.",AS358,IF(Главная!$P$9="рублей.",AL358,AS358)))</f>
        <v>0</v>
      </c>
      <c r="N358" s="162">
        <f>IF(Главная!$P$9="Дол.",BB358,IF(Главная!$P$9="гривен.",AT358,IF(Главная!$P$9="рублей.",AM358,AT358)))</f>
        <v>0</v>
      </c>
      <c r="O358" s="162">
        <f>IF(Главная!$P$9="Дол.",BC358,IF(Главная!$P$9="гривен.",AU358,IF(Главная!$P$9="рублей.",AN358,AU358)))</f>
        <v>0</v>
      </c>
      <c r="P358" s="141">
        <v>1.74</v>
      </c>
      <c r="Q358" s="141">
        <v>1.74</v>
      </c>
    </row>
    <row r="359" spans="1:50" s="140" customFormat="1" ht="12.75" customHeight="1">
      <c r="A359" s="150">
        <f>IF(Главная!$P$9="Дол.",AX359,IF(Главная!$P$9="гривен.",AP359,IF(Главная!$P$9="рублей.",AI359,AP359)))</f>
        <v>0</v>
      </c>
      <c r="B359" s="141">
        <v>0.7</v>
      </c>
      <c r="J359" s="141">
        <v>0.7</v>
      </c>
      <c r="K359" s="162">
        <f>IF(Главная!$P$9="Дол.",AY359,IF(Главная!$P$9="гривен.",AQ359,IF(Главная!$P$9="рублей.",AJ359,AQ359)))</f>
        <v>0</v>
      </c>
      <c r="L359" s="162">
        <f>IF(Главная!$P$9="Дол.",AZ359,IF(Главная!$P$9="гривен.",AR359,IF(Главная!$P$9="рублей.",AK359,AR359)))</f>
        <v>0</v>
      </c>
      <c r="M359" s="162">
        <f>IF(Главная!$P$9="Дол.",BA359,IF(Главная!$P$9="гривен.",AS359,IF(Главная!$P$9="рублей.",AL359,AS359)))</f>
        <v>0</v>
      </c>
      <c r="N359" s="162">
        <f>IF(Главная!$P$9="Дол.",BB359,IF(Главная!$P$9="гривен.",AT359,IF(Главная!$P$9="рублей.",AM359,AT359)))</f>
        <v>0</v>
      </c>
      <c r="O359" s="162">
        <f>IF(Главная!$P$9="Дол.",BC359,IF(Главная!$P$9="гривен.",AU359,IF(Главная!$P$9="рублей.",AN359,AU359)))</f>
        <v>0</v>
      </c>
      <c r="P359" s="141">
        <v>0.7</v>
      </c>
      <c r="Q359" s="141">
        <v>0.7</v>
      </c>
    </row>
    <row r="360" spans="1:50" s="140" customFormat="1" ht="12.75" customHeight="1">
      <c r="A360" s="150">
        <f>IF(Главная!$P$9="Дол.",AX360,IF(Главная!$P$9="гривен.",AP360,IF(Главная!$P$9="рублей.",AI360,AP360)))</f>
        <v>0</v>
      </c>
      <c r="B360" s="141">
        <v>1.74</v>
      </c>
      <c r="J360" s="141">
        <v>1.74</v>
      </c>
      <c r="K360" s="162">
        <f>IF(Главная!$P$9="Дол.",AY360,IF(Главная!$P$9="гривен.",AQ360,IF(Главная!$P$9="рублей.",AJ360,AQ360)))</f>
        <v>0</v>
      </c>
      <c r="L360" s="162">
        <f>IF(Главная!$P$9="Дол.",AZ360,IF(Главная!$P$9="гривен.",AR360,IF(Главная!$P$9="рублей.",AK360,AR360)))</f>
        <v>0</v>
      </c>
      <c r="M360" s="162">
        <f>IF(Главная!$P$9="Дол.",BA360,IF(Главная!$P$9="гривен.",AS360,IF(Главная!$P$9="рублей.",AL360,AS360)))</f>
        <v>0</v>
      </c>
      <c r="N360" s="162">
        <f>IF(Главная!$P$9="Дол.",BB360,IF(Главная!$P$9="гривен.",AT360,IF(Главная!$P$9="рублей.",AM360,AT360)))</f>
        <v>0</v>
      </c>
      <c r="O360" s="162">
        <f>IF(Главная!$P$9="Дол.",BC360,IF(Главная!$P$9="гривен.",AU360,IF(Главная!$P$9="рублей.",AN360,AU360)))</f>
        <v>0</v>
      </c>
      <c r="P360" s="141">
        <v>1.74</v>
      </c>
      <c r="Q360" s="141">
        <v>1.74</v>
      </c>
    </row>
    <row r="361" spans="1:50" s="140" customFormat="1" ht="12.75" customHeight="1">
      <c r="A361" s="150">
        <f>IF(Главная!$P$9="Дол.",AX361,IF(Главная!$P$9="гривен.",AP361,IF(Главная!$P$9="рублей.",AI361,AP361)))</f>
        <v>0</v>
      </c>
      <c r="B361" s="141">
        <v>2.12</v>
      </c>
      <c r="J361" s="141">
        <v>2.12</v>
      </c>
      <c r="K361" s="162">
        <f>IF(Главная!$P$9="Дол.",AY361,IF(Главная!$P$9="гривен.",AQ361,IF(Главная!$P$9="рублей.",AJ361,AQ361)))</f>
        <v>0</v>
      </c>
      <c r="L361" s="162">
        <f>IF(Главная!$P$9="Дол.",AZ361,IF(Главная!$P$9="гривен.",AR361,IF(Главная!$P$9="рублей.",AK361,AR361)))</f>
        <v>0</v>
      </c>
      <c r="M361" s="162">
        <f>IF(Главная!$P$9="Дол.",BA361,IF(Главная!$P$9="гривен.",AS361,IF(Главная!$P$9="рублей.",AL361,AS361)))</f>
        <v>0</v>
      </c>
      <c r="N361" s="162">
        <f>IF(Главная!$P$9="Дол.",BB361,IF(Главная!$P$9="гривен.",AT361,IF(Главная!$P$9="рублей.",AM361,AT361)))</f>
        <v>0</v>
      </c>
      <c r="O361" s="162">
        <f>IF(Главная!$P$9="Дол.",BC361,IF(Главная!$P$9="гривен.",AU361,IF(Главная!$P$9="рублей.",AN361,AU361)))</f>
        <v>0</v>
      </c>
      <c r="P361" s="141">
        <v>2.12</v>
      </c>
      <c r="Q361" s="141">
        <v>2.12</v>
      </c>
    </row>
    <row r="362" spans="1:50" s="140" customFormat="1" ht="12.75" customHeight="1">
      <c r="A362" s="150">
        <f>IF(Главная!$P$9="Дол.",AX362,IF(Главная!$P$9="гривен.",AP362,IF(Главная!$P$9="рублей.",AI362,AP362)))</f>
        <v>0</v>
      </c>
      <c r="B362" s="141">
        <v>1.21</v>
      </c>
      <c r="J362" s="141">
        <v>1.21</v>
      </c>
      <c r="K362" s="162">
        <f>IF(Главная!$P$9="Дол.",AY362,IF(Главная!$P$9="гривен.",AQ362,IF(Главная!$P$9="рублей.",AJ362,AQ362)))</f>
        <v>0</v>
      </c>
      <c r="L362" s="162">
        <f>IF(Главная!$P$9="Дол.",AZ362,IF(Главная!$P$9="гривен.",AR362,IF(Главная!$P$9="рублей.",AK362,AR362)))</f>
        <v>0</v>
      </c>
      <c r="M362" s="162">
        <f>IF(Главная!$P$9="Дол.",BA362,IF(Главная!$P$9="гривен.",AS362,IF(Главная!$P$9="рублей.",AL362,AS362)))</f>
        <v>0</v>
      </c>
      <c r="N362" s="162">
        <f>IF(Главная!$P$9="Дол.",BB362,IF(Главная!$P$9="гривен.",AT362,IF(Главная!$P$9="рублей.",AM362,AT362)))</f>
        <v>0</v>
      </c>
      <c r="O362" s="162">
        <f>IF(Главная!$P$9="Дол.",BC362,IF(Главная!$P$9="гривен.",AU362,IF(Главная!$P$9="рублей.",AN362,AU362)))</f>
        <v>0</v>
      </c>
      <c r="P362" s="141">
        <v>1.21</v>
      </c>
      <c r="Q362" s="141">
        <v>1.21</v>
      </c>
    </row>
    <row r="363" spans="1:50" s="140" customFormat="1" ht="12.75" customHeight="1">
      <c r="A363" s="150">
        <f>IF(Главная!$P$9="Дол.",AX363,IF(Главная!$P$9="гривен.",AP363,IF(Главная!$P$9="рублей.",AI363,AP363)))</f>
        <v>0</v>
      </c>
      <c r="B363" s="141">
        <v>1.86</v>
      </c>
      <c r="J363" s="141">
        <v>1.86</v>
      </c>
      <c r="K363" s="162">
        <f>IF(Главная!$P$9="Дол.",AY363,IF(Главная!$P$9="гривен.",AQ363,IF(Главная!$P$9="рублей.",AJ363,AQ363)))</f>
        <v>0</v>
      </c>
      <c r="L363" s="162">
        <f>IF(Главная!$P$9="Дол.",AZ363,IF(Главная!$P$9="гривен.",AR363,IF(Главная!$P$9="рублей.",AK363,AR363)))</f>
        <v>0</v>
      </c>
      <c r="M363" s="162">
        <f>IF(Главная!$P$9="Дол.",BA363,IF(Главная!$P$9="гривен.",AS363,IF(Главная!$P$9="рублей.",AL363,AS363)))</f>
        <v>0</v>
      </c>
      <c r="N363" s="162">
        <f>IF(Главная!$P$9="Дол.",BB363,IF(Главная!$P$9="гривен.",AT363,IF(Главная!$P$9="рублей.",AM363,AT363)))</f>
        <v>0</v>
      </c>
      <c r="O363" s="162">
        <f>IF(Главная!$P$9="Дол.",BC363,IF(Главная!$P$9="гривен.",AU363,IF(Главная!$P$9="рублей.",AN363,AU363)))</f>
        <v>0</v>
      </c>
      <c r="P363" s="141">
        <v>1.86</v>
      </c>
      <c r="Q363" s="141">
        <v>1.86</v>
      </c>
    </row>
    <row r="364" spans="1:50" s="140" customFormat="1" ht="12.75" customHeight="1">
      <c r="A364" s="150">
        <f>IF(Главная!$P$9="Дол.",AX364,IF(Главная!$P$9="гривен.",AP364,IF(Главная!$P$9="рублей.",AI364,AP364)))</f>
        <v>0</v>
      </c>
      <c r="B364" s="141">
        <v>1.47</v>
      </c>
      <c r="J364" s="141">
        <v>1.47</v>
      </c>
      <c r="K364" s="162">
        <f>IF(Главная!$P$9="Дол.",AY364,IF(Главная!$P$9="гривен.",AQ364,IF(Главная!$P$9="рублей.",AJ364,AQ364)))</f>
        <v>0</v>
      </c>
      <c r="L364" s="162">
        <f>IF(Главная!$P$9="Дол.",AZ364,IF(Главная!$P$9="гривен.",AR364,IF(Главная!$P$9="рублей.",AK364,AR364)))</f>
        <v>0</v>
      </c>
      <c r="M364" s="162">
        <f>IF(Главная!$P$9="Дол.",BA364,IF(Главная!$P$9="гривен.",AS364,IF(Главная!$P$9="рублей.",AL364,AS364)))</f>
        <v>0</v>
      </c>
      <c r="N364" s="162">
        <f>IF(Главная!$P$9="Дол.",BB364,IF(Главная!$P$9="гривен.",AT364,IF(Главная!$P$9="рублей.",AM364,AT364)))</f>
        <v>0</v>
      </c>
      <c r="O364" s="162">
        <f>IF(Главная!$P$9="Дол.",BC364,IF(Главная!$P$9="гривен.",AU364,IF(Главная!$P$9="рублей.",AN364,AU364)))</f>
        <v>0</v>
      </c>
      <c r="P364" s="141">
        <v>1.47</v>
      </c>
      <c r="Q364" s="141">
        <v>1.47</v>
      </c>
    </row>
    <row r="365" spans="1:50" s="140" customFormat="1" ht="12.75" customHeight="1">
      <c r="A365" s="150">
        <f>IF(Главная!$P$9="Дол.",AX365,IF(Главная!$P$9="гривен.",AP365,IF(Главная!$P$9="рублей.",AI365,AP365)))</f>
        <v>0</v>
      </c>
      <c r="B365" s="141">
        <v>2.12</v>
      </c>
      <c r="J365" s="141">
        <v>2.12</v>
      </c>
      <c r="K365" s="162">
        <f>IF(Главная!$P$9="Дол.",AY365,IF(Главная!$P$9="гривен.",AQ365,IF(Главная!$P$9="рублей.",AJ365,AQ365)))</f>
        <v>0</v>
      </c>
      <c r="L365" s="162">
        <f>IF(Главная!$P$9="Дол.",AZ365,IF(Главная!$P$9="гривен.",AR365,IF(Главная!$P$9="рублей.",AK365,AR365)))</f>
        <v>0</v>
      </c>
      <c r="M365" s="162">
        <f>IF(Главная!$P$9="Дол.",BA365,IF(Главная!$P$9="гривен.",AS365,IF(Главная!$P$9="рублей.",AL365,AS365)))</f>
        <v>0</v>
      </c>
      <c r="N365" s="162">
        <f>IF(Главная!$P$9="Дол.",BB365,IF(Главная!$P$9="гривен.",AT365,IF(Главная!$P$9="рублей.",AM365,AT365)))</f>
        <v>0</v>
      </c>
      <c r="O365" s="162">
        <f>IF(Главная!$P$9="Дол.",BC365,IF(Главная!$P$9="гривен.",AU365,IF(Главная!$P$9="рублей.",AN365,AU365)))</f>
        <v>0</v>
      </c>
      <c r="P365" s="141">
        <v>2.12</v>
      </c>
      <c r="Q365" s="141">
        <v>2.12</v>
      </c>
    </row>
    <row r="366" spans="1:50" s="140" customFormat="1" ht="12.75" customHeight="1">
      <c r="A366" s="150">
        <f>IF(Главная!$P$9="Дол.",AX366,IF(Главная!$P$9="гривен.",AP366,IF(Главная!$P$9="рублей.",AI366,AP366)))</f>
        <v>0</v>
      </c>
      <c r="B366" s="141">
        <v>1.86</v>
      </c>
      <c r="J366" s="141">
        <v>1.86</v>
      </c>
      <c r="K366" s="162">
        <f>IF(Главная!$P$9="Дол.",AY366,IF(Главная!$P$9="гривен.",AQ366,IF(Главная!$P$9="рублей.",AJ366,AQ366)))</f>
        <v>0</v>
      </c>
      <c r="L366" s="162">
        <f>IF(Главная!$P$9="Дол.",AZ366,IF(Главная!$P$9="гривен.",AR366,IF(Главная!$P$9="рублей.",AK366,AR366)))</f>
        <v>0</v>
      </c>
      <c r="M366" s="162">
        <f>IF(Главная!$P$9="Дол.",BA366,IF(Главная!$P$9="гривен.",AS366,IF(Главная!$P$9="рублей.",AL366,AS366)))</f>
        <v>0</v>
      </c>
      <c r="N366" s="162">
        <f>IF(Главная!$P$9="Дол.",BB366,IF(Главная!$P$9="гривен.",AT366,IF(Главная!$P$9="рублей.",AM366,AT366)))</f>
        <v>0</v>
      </c>
      <c r="O366" s="162">
        <f>IF(Главная!$P$9="Дол.",BC366,IF(Главная!$P$9="гривен.",AU366,IF(Главная!$P$9="рублей.",AN366,AU366)))</f>
        <v>0</v>
      </c>
      <c r="P366" s="141">
        <v>1.86</v>
      </c>
      <c r="Q366" s="141">
        <v>1.86</v>
      </c>
    </row>
    <row r="367" spans="1:50" s="140" customFormat="1" ht="12.75" customHeight="1">
      <c r="A367" s="150">
        <f>IF(Главная!$P$9="Дол.",AX367,IF(Главная!$P$9="гривен.",AP367,IF(Главная!$P$9="рублей.",AI367,AP367)))</f>
        <v>0</v>
      </c>
      <c r="B367" s="141">
        <v>2.12</v>
      </c>
      <c r="J367" s="141">
        <v>2.12</v>
      </c>
      <c r="K367" s="162">
        <f>IF(Главная!$P$9="Дол.",AY367,IF(Главная!$P$9="гривен.",AQ367,IF(Главная!$P$9="рублей.",AJ367,AQ367)))</f>
        <v>0</v>
      </c>
      <c r="L367" s="162">
        <f>IF(Главная!$P$9="Дол.",AZ367,IF(Главная!$P$9="гривен.",AR367,IF(Главная!$P$9="рублей.",AK367,AR367)))</f>
        <v>0</v>
      </c>
      <c r="M367" s="162">
        <f>IF(Главная!$P$9="Дол.",BA367,IF(Главная!$P$9="гривен.",AS367,IF(Главная!$P$9="рублей.",AL367,AS367)))</f>
        <v>0</v>
      </c>
      <c r="N367" s="162">
        <f>IF(Главная!$P$9="Дол.",BB367,IF(Главная!$P$9="гривен.",AT367,IF(Главная!$P$9="рублей.",AM367,AT367)))</f>
        <v>0</v>
      </c>
      <c r="O367" s="162">
        <f>IF(Главная!$P$9="Дол.",BC367,IF(Главная!$P$9="гривен.",AU367,IF(Главная!$P$9="рублей.",AN367,AU367)))</f>
        <v>0</v>
      </c>
      <c r="P367" s="141">
        <v>2.12</v>
      </c>
      <c r="Q367" s="141">
        <v>2.12</v>
      </c>
    </row>
    <row r="368" spans="1:50" s="140" customFormat="1" ht="12.75" customHeight="1">
      <c r="A368" s="150">
        <f>IF(Главная!$P$9="Дол.",AX368,IF(Главная!$P$9="гривен.",AP368,IF(Главная!$P$9="рублей.",AI368,AP368)))</f>
        <v>0</v>
      </c>
      <c r="B368" s="141"/>
      <c r="J368" s="141"/>
      <c r="K368" s="162">
        <f>IF(Главная!$P$9="Дол.",AY368,IF(Главная!$P$9="гривен.",AQ368,IF(Главная!$P$9="рублей.",AJ368,AQ368)))</f>
        <v>0</v>
      </c>
      <c r="L368" s="162">
        <f>IF(Главная!$P$9="Дол.",AZ368,IF(Главная!$P$9="гривен.",AR368,IF(Главная!$P$9="рублей.",AK368,AR368)))</f>
        <v>0</v>
      </c>
      <c r="M368" s="162">
        <f>IF(Главная!$P$9="Дол.",BA368,IF(Главная!$P$9="гривен.",AS368,IF(Главная!$P$9="рублей.",AL368,AS368)))</f>
        <v>0</v>
      </c>
      <c r="N368" s="162">
        <f>IF(Главная!$P$9="Дол.",BB368,IF(Главная!$P$9="гривен.",AT368,IF(Главная!$P$9="рублей.",AM368,AT368)))</f>
        <v>0</v>
      </c>
      <c r="O368" s="162">
        <f>IF(Главная!$P$9="Дол.",BC368,IF(Главная!$P$9="гривен.",AU368,IF(Главная!$P$9="рублей.",AN368,AU368)))</f>
        <v>0</v>
      </c>
      <c r="P368" s="141"/>
      <c r="Q368" s="141"/>
    </row>
    <row r="369" spans="1:17" s="140" customFormat="1" ht="12.75" customHeight="1">
      <c r="A369" s="150">
        <f>IF(Главная!$P$9="Дол.",AX369,IF(Главная!$P$9="гривен.",AP369,IF(Главная!$P$9="рублей.",AI369,AP369)))</f>
        <v>0</v>
      </c>
      <c r="B369" s="141">
        <v>2.95</v>
      </c>
      <c r="J369" s="141">
        <v>2.95</v>
      </c>
      <c r="K369" s="162">
        <f>IF(Главная!$P$9="Дол.",AY369,IF(Главная!$P$9="гривен.",AQ369,IF(Главная!$P$9="рублей.",AJ369,AQ369)))</f>
        <v>0</v>
      </c>
      <c r="L369" s="162">
        <f>IF(Главная!$P$9="Дол.",AZ369,IF(Главная!$P$9="гривен.",AR369,IF(Главная!$P$9="рублей.",AK369,AR369)))</f>
        <v>0</v>
      </c>
      <c r="M369" s="162">
        <f>IF(Главная!$P$9="Дол.",BA369,IF(Главная!$P$9="гривен.",AS369,IF(Главная!$P$9="рублей.",AL369,AS369)))</f>
        <v>0</v>
      </c>
      <c r="N369" s="162">
        <f>IF(Главная!$P$9="Дол.",BB369,IF(Главная!$P$9="гривен.",AT369,IF(Главная!$P$9="рублей.",AM369,AT369)))</f>
        <v>0</v>
      </c>
      <c r="O369" s="162">
        <f>IF(Главная!$P$9="Дол.",BC369,IF(Главная!$P$9="гривен.",AU369,IF(Главная!$P$9="рублей.",AN369,AU369)))</f>
        <v>0</v>
      </c>
      <c r="P369" s="141">
        <v>2.95</v>
      </c>
      <c r="Q369" s="141">
        <v>2.95</v>
      </c>
    </row>
    <row r="370" spans="1:17" s="140" customFormat="1" ht="12.75" customHeight="1">
      <c r="A370" s="150">
        <f>IF(Главная!$P$9="Дол.",AX370,IF(Главная!$P$9="гривен.",AP370,IF(Главная!$P$9="рублей.",AI370,AP370)))</f>
        <v>0</v>
      </c>
      <c r="B370" s="141">
        <v>1.74</v>
      </c>
      <c r="J370" s="141">
        <v>1.74</v>
      </c>
      <c r="K370" s="162">
        <f>IF(Главная!$P$9="Дол.",AY370,IF(Главная!$P$9="гривен.",AQ370,IF(Главная!$P$9="рублей.",AJ370,AQ370)))</f>
        <v>0</v>
      </c>
      <c r="L370" s="162">
        <f>IF(Главная!$P$9="Дол.",AZ370,IF(Главная!$P$9="гривен.",AR370,IF(Главная!$P$9="рублей.",AK370,AR370)))</f>
        <v>0</v>
      </c>
      <c r="M370" s="162">
        <f>IF(Главная!$P$9="Дол.",BA370,IF(Главная!$P$9="гривен.",AS370,IF(Главная!$P$9="рублей.",AL370,AS370)))</f>
        <v>0</v>
      </c>
      <c r="N370" s="162">
        <f>IF(Главная!$P$9="Дол.",BB370,IF(Главная!$P$9="гривен.",AT370,IF(Главная!$P$9="рублей.",AM370,AT370)))</f>
        <v>0</v>
      </c>
      <c r="O370" s="162">
        <f>IF(Главная!$P$9="Дол.",BC370,IF(Главная!$P$9="гривен.",AU370,IF(Главная!$P$9="рублей.",AN370,AU370)))</f>
        <v>0</v>
      </c>
      <c r="P370" s="141">
        <v>1.74</v>
      </c>
      <c r="Q370" s="141">
        <v>1.74</v>
      </c>
    </row>
    <row r="371" spans="1:17" s="140" customFormat="1" ht="12.75" customHeight="1">
      <c r="A371" s="150">
        <f>IF(Главная!$P$9="Дол.",AX371,IF(Главная!$P$9="гривен.",AP371,IF(Главная!$P$9="рублей.",AI371,AP371)))</f>
        <v>0</v>
      </c>
      <c r="B371" s="141">
        <v>1.86</v>
      </c>
      <c r="J371" s="141">
        <v>1.86</v>
      </c>
      <c r="K371" s="162">
        <f>IF(Главная!$P$9="Дол.",AY371,IF(Главная!$P$9="гривен.",AQ371,IF(Главная!$P$9="рублей.",AJ371,AQ371)))</f>
        <v>0</v>
      </c>
      <c r="L371" s="162">
        <f>IF(Главная!$P$9="Дол.",AZ371,IF(Главная!$P$9="гривен.",AR371,IF(Главная!$P$9="рублей.",AK371,AR371)))</f>
        <v>0</v>
      </c>
      <c r="M371" s="162">
        <f>IF(Главная!$P$9="Дол.",BA371,IF(Главная!$P$9="гривен.",AS371,IF(Главная!$P$9="рублей.",AL371,AS371)))</f>
        <v>0</v>
      </c>
      <c r="N371" s="162">
        <f>IF(Главная!$P$9="Дол.",BB371,IF(Главная!$P$9="гривен.",AT371,IF(Главная!$P$9="рублей.",AM371,AT371)))</f>
        <v>0</v>
      </c>
      <c r="O371" s="162">
        <f>IF(Главная!$P$9="Дол.",BC371,IF(Главная!$P$9="гривен.",AU371,IF(Главная!$P$9="рублей.",AN371,AU371)))</f>
        <v>0</v>
      </c>
      <c r="P371" s="141">
        <v>1.86</v>
      </c>
      <c r="Q371" s="141">
        <v>1.86</v>
      </c>
    </row>
    <row r="372" spans="1:17" s="140" customFormat="1" ht="12.75" customHeight="1">
      <c r="A372" s="150">
        <f>IF(Главная!$P$9="Дол.",AX372,IF(Главная!$P$9="гривен.",AP372,IF(Главная!$P$9="рублей.",AI372,AP372)))</f>
        <v>0</v>
      </c>
      <c r="B372" s="141">
        <v>1.21</v>
      </c>
      <c r="J372" s="141">
        <v>1.21</v>
      </c>
      <c r="K372" s="162">
        <f>IF(Главная!$P$9="Дол.",AY372,IF(Главная!$P$9="гривен.",AQ372,IF(Главная!$P$9="рублей.",AJ372,AQ372)))</f>
        <v>0</v>
      </c>
      <c r="L372" s="162">
        <f>IF(Главная!$P$9="Дол.",AZ372,IF(Главная!$P$9="гривен.",AR372,IF(Главная!$P$9="рублей.",AK372,AR372)))</f>
        <v>0</v>
      </c>
      <c r="M372" s="162">
        <f>IF(Главная!$P$9="Дол.",BA372,IF(Главная!$P$9="гривен.",AS372,IF(Главная!$P$9="рублей.",AL372,AS372)))</f>
        <v>0</v>
      </c>
      <c r="N372" s="162">
        <f>IF(Главная!$P$9="Дол.",BB372,IF(Главная!$P$9="гривен.",AT372,IF(Главная!$P$9="рублей.",AM372,AT372)))</f>
        <v>0</v>
      </c>
      <c r="O372" s="162">
        <f>IF(Главная!$P$9="Дол.",BC372,IF(Главная!$P$9="гривен.",AU372,IF(Главная!$P$9="рублей.",AN372,AU372)))</f>
        <v>0</v>
      </c>
      <c r="P372" s="141">
        <v>1.21</v>
      </c>
      <c r="Q372" s="141">
        <v>1.21</v>
      </c>
    </row>
    <row r="373" spans="1:17" s="140" customFormat="1" ht="12.75" customHeight="1">
      <c r="A373" s="150">
        <f>IF(Главная!$P$9="Дол.",AX373,IF(Главная!$P$9="гривен.",AP373,IF(Главная!$P$9="рублей.",AI373,AP373)))</f>
        <v>0</v>
      </c>
      <c r="B373" s="141">
        <v>1.86</v>
      </c>
      <c r="J373" s="141">
        <v>1.86</v>
      </c>
      <c r="K373" s="162">
        <f>IF(Главная!$P$9="Дол.",AY373,IF(Главная!$P$9="гривен.",AQ373,IF(Главная!$P$9="рублей.",AJ373,AQ373)))</f>
        <v>0</v>
      </c>
      <c r="L373" s="162">
        <f>IF(Главная!$P$9="Дол.",AZ373,IF(Главная!$P$9="гривен.",AR373,IF(Главная!$P$9="рублей.",AK373,AR373)))</f>
        <v>0</v>
      </c>
      <c r="M373" s="162">
        <f>IF(Главная!$P$9="Дол.",BA373,IF(Главная!$P$9="гривен.",AS373,IF(Главная!$P$9="рублей.",AL373,AS373)))</f>
        <v>0</v>
      </c>
      <c r="N373" s="162">
        <f>IF(Главная!$P$9="Дол.",BB373,IF(Главная!$P$9="гривен.",AT373,IF(Главная!$P$9="рублей.",AM373,AT373)))</f>
        <v>0</v>
      </c>
      <c r="O373" s="162">
        <f>IF(Главная!$P$9="Дол.",BC373,IF(Главная!$P$9="гривен.",AU373,IF(Главная!$P$9="рублей.",AN373,AU373)))</f>
        <v>0</v>
      </c>
      <c r="P373" s="141">
        <v>1.86</v>
      </c>
      <c r="Q373" s="141">
        <v>1.86</v>
      </c>
    </row>
    <row r="374" spans="1:17" s="140" customFormat="1" ht="12.75" customHeight="1">
      <c r="A374" s="150">
        <f>IF(Главная!$P$9="Дол.",AX374,IF(Главная!$P$9="гривен.",AP374,IF(Главная!$P$9="рублей.",AI374,AP374)))</f>
        <v>0</v>
      </c>
      <c r="B374" s="141">
        <v>2.12</v>
      </c>
      <c r="J374" s="141">
        <v>2.12</v>
      </c>
      <c r="K374" s="162">
        <f>IF(Главная!$P$9="Дол.",AY374,IF(Главная!$P$9="гривен.",AQ374,IF(Главная!$P$9="рублей.",AJ374,AQ374)))</f>
        <v>0</v>
      </c>
      <c r="L374" s="162">
        <f>IF(Главная!$P$9="Дол.",AZ374,IF(Главная!$P$9="гривен.",AR374,IF(Главная!$P$9="рублей.",AK374,AR374)))</f>
        <v>0</v>
      </c>
      <c r="M374" s="162">
        <f>IF(Главная!$P$9="Дол.",BA374,IF(Главная!$P$9="гривен.",AS374,IF(Главная!$P$9="рублей.",AL374,AS374)))</f>
        <v>0</v>
      </c>
      <c r="N374" s="162">
        <f>IF(Главная!$P$9="Дол.",BB374,IF(Главная!$P$9="гривен.",AT374,IF(Главная!$P$9="рублей.",AM374,AT374)))</f>
        <v>0</v>
      </c>
      <c r="O374" s="162">
        <f>IF(Главная!$P$9="Дол.",BC374,IF(Главная!$P$9="гривен.",AU374,IF(Главная!$P$9="рублей.",AN374,AU374)))</f>
        <v>0</v>
      </c>
      <c r="P374" s="141">
        <v>2.12</v>
      </c>
      <c r="Q374" s="141">
        <v>2.12</v>
      </c>
    </row>
    <row r="375" spans="1:17" s="140" customFormat="1" ht="12.75" customHeight="1">
      <c r="A375" s="150">
        <f>IF(Главная!$P$9="Дол.",AX375,IF(Главная!$P$9="гривен.",AP375,IF(Главная!$P$9="рублей.",AI375,AP375)))</f>
        <v>0</v>
      </c>
      <c r="B375" s="141">
        <v>2.12</v>
      </c>
      <c r="J375" s="141">
        <v>2.12</v>
      </c>
      <c r="K375" s="162">
        <f>IF(Главная!$P$9="Дол.",AY375,IF(Главная!$P$9="гривен.",AQ375,IF(Главная!$P$9="рублей.",AJ375,AQ375)))</f>
        <v>0</v>
      </c>
      <c r="L375" s="162">
        <f>IF(Главная!$P$9="Дол.",AZ375,IF(Главная!$P$9="гривен.",AR375,IF(Главная!$P$9="рублей.",AK375,AR375)))</f>
        <v>0</v>
      </c>
      <c r="M375" s="162">
        <f>IF(Главная!$P$9="Дол.",BA375,IF(Главная!$P$9="гривен.",AS375,IF(Главная!$P$9="рублей.",AL375,AS375)))</f>
        <v>0</v>
      </c>
      <c r="N375" s="162">
        <f>IF(Главная!$P$9="Дол.",BB375,IF(Главная!$P$9="гривен.",AT375,IF(Главная!$P$9="рублей.",AM375,AT375)))</f>
        <v>0</v>
      </c>
      <c r="O375" s="162">
        <f>IF(Главная!$P$9="Дол.",BC375,IF(Главная!$P$9="гривен.",AU375,IF(Главная!$P$9="рублей.",AN375,AU375)))</f>
        <v>0</v>
      </c>
      <c r="P375" s="141">
        <v>2.12</v>
      </c>
      <c r="Q375" s="141">
        <v>2.12</v>
      </c>
    </row>
    <row r="376" spans="1:17" s="140" customFormat="1" ht="12.75" customHeight="1">
      <c r="A376" s="150">
        <f>IF(Главная!$P$9="Дол.",AX376,IF(Главная!$P$9="гривен.",AP376,IF(Главная!$P$9="рублей.",AI376,AP376)))</f>
        <v>0</v>
      </c>
      <c r="B376" s="141">
        <v>2.12</v>
      </c>
      <c r="J376" s="141">
        <v>2.12</v>
      </c>
      <c r="K376" s="162">
        <f>IF(Главная!$P$9="Дол.",AY376,IF(Главная!$P$9="гривен.",AQ376,IF(Главная!$P$9="рублей.",AJ376,AQ376)))</f>
        <v>0</v>
      </c>
      <c r="L376" s="162">
        <f>IF(Главная!$P$9="Дол.",AZ376,IF(Главная!$P$9="гривен.",AR376,IF(Главная!$P$9="рублей.",AK376,AR376)))</f>
        <v>0</v>
      </c>
      <c r="M376" s="162">
        <f>IF(Главная!$P$9="Дол.",BA376,IF(Главная!$P$9="гривен.",AS376,IF(Главная!$P$9="рублей.",AL376,AS376)))</f>
        <v>0</v>
      </c>
      <c r="N376" s="162">
        <f>IF(Главная!$P$9="Дол.",BB376,IF(Главная!$P$9="гривен.",AT376,IF(Главная!$P$9="рублей.",AM376,AT376)))</f>
        <v>0</v>
      </c>
      <c r="O376" s="162">
        <f>IF(Главная!$P$9="Дол.",BC376,IF(Главная!$P$9="гривен.",AU376,IF(Главная!$P$9="рублей.",AN376,AU376)))</f>
        <v>0</v>
      </c>
      <c r="P376" s="141">
        <v>2.12</v>
      </c>
      <c r="Q376" s="141">
        <v>2.12</v>
      </c>
    </row>
    <row r="377" spans="1:17" s="140" customFormat="1" ht="12.75" customHeight="1">
      <c r="A377" s="150">
        <f>IF(Главная!$P$9="Дол.",AX377,IF(Главная!$P$9="гривен.",AP377,IF(Главная!$P$9="рублей.",AI377,AP377)))</f>
        <v>0</v>
      </c>
      <c r="B377" s="141">
        <v>1.86</v>
      </c>
      <c r="J377" s="141">
        <v>1.86</v>
      </c>
      <c r="K377" s="162">
        <f>IF(Главная!$P$9="Дол.",AY377,IF(Главная!$P$9="гривен.",AQ377,IF(Главная!$P$9="рублей.",AJ377,AQ377)))</f>
        <v>0</v>
      </c>
      <c r="L377" s="162">
        <f>IF(Главная!$P$9="Дол.",AZ377,IF(Главная!$P$9="гривен.",AR377,IF(Главная!$P$9="рублей.",AK377,AR377)))</f>
        <v>0</v>
      </c>
      <c r="M377" s="162">
        <f>IF(Главная!$P$9="Дол.",BA377,IF(Главная!$P$9="гривен.",AS377,IF(Главная!$P$9="рублей.",AL377,AS377)))</f>
        <v>0</v>
      </c>
      <c r="N377" s="162">
        <f>IF(Главная!$P$9="Дол.",BB377,IF(Главная!$P$9="гривен.",AT377,IF(Главная!$P$9="рублей.",AM377,AT377)))</f>
        <v>0</v>
      </c>
      <c r="O377" s="162">
        <f>IF(Главная!$P$9="Дол.",BC377,IF(Главная!$P$9="гривен.",AU377,IF(Главная!$P$9="рублей.",AN377,AU377)))</f>
        <v>0</v>
      </c>
      <c r="P377" s="141">
        <v>1.86</v>
      </c>
      <c r="Q377" s="141">
        <v>1.86</v>
      </c>
    </row>
    <row r="378" spans="1:17" s="140" customFormat="1" ht="12.75" customHeight="1">
      <c r="A378" s="150">
        <f>IF(Главная!$P$9="Дол.",AX378,IF(Главная!$P$9="гривен.",AP378,IF(Главная!$P$9="рублей.",AI378,AP378)))</f>
        <v>0</v>
      </c>
      <c r="B378" s="141">
        <v>1.74</v>
      </c>
      <c r="J378" s="141">
        <v>1.74</v>
      </c>
      <c r="K378" s="162">
        <f>IF(Главная!$P$9="Дол.",AY378,IF(Главная!$P$9="гривен.",AQ378,IF(Главная!$P$9="рублей.",AJ378,AQ378)))</f>
        <v>0</v>
      </c>
      <c r="L378" s="162">
        <f>IF(Главная!$P$9="Дол.",AZ378,IF(Главная!$P$9="гривен.",AR378,IF(Главная!$P$9="рублей.",AK378,AR378)))</f>
        <v>0</v>
      </c>
      <c r="M378" s="162">
        <f>IF(Главная!$P$9="Дол.",BA378,IF(Главная!$P$9="гривен.",AS378,IF(Главная!$P$9="рублей.",AL378,AS378)))</f>
        <v>0</v>
      </c>
      <c r="N378" s="162">
        <f>IF(Главная!$P$9="Дол.",BB378,IF(Главная!$P$9="гривен.",AT378,IF(Главная!$P$9="рублей.",AM378,AT378)))</f>
        <v>0</v>
      </c>
      <c r="O378" s="162">
        <f>IF(Главная!$P$9="Дол.",BC378,IF(Главная!$P$9="гривен.",AU378,IF(Главная!$P$9="рублей.",AN378,AU378)))</f>
        <v>0</v>
      </c>
      <c r="P378" s="141">
        <v>1.74</v>
      </c>
      <c r="Q378" s="141">
        <v>1.74</v>
      </c>
    </row>
    <row r="379" spans="1:17" s="140" customFormat="1" ht="12.75" customHeight="1">
      <c r="A379" s="150">
        <f>IF(Главная!$P$9="Дол.",AX379,IF(Главная!$P$9="гривен.",AP379,IF(Главная!$P$9="рублей.",AI379,AP379)))</f>
        <v>0</v>
      </c>
      <c r="B379" s="141">
        <v>2.23</v>
      </c>
      <c r="J379" s="141">
        <v>2.23</v>
      </c>
      <c r="K379" s="162">
        <f>IF(Главная!$P$9="Дол.",AY379,IF(Главная!$P$9="гривен.",AQ379,IF(Главная!$P$9="рублей.",AJ379,AQ379)))</f>
        <v>0</v>
      </c>
      <c r="L379" s="162">
        <f>IF(Главная!$P$9="Дол.",AZ379,IF(Главная!$P$9="гривен.",AR379,IF(Главная!$P$9="рублей.",AK379,AR379)))</f>
        <v>0</v>
      </c>
      <c r="M379" s="162">
        <f>IF(Главная!$P$9="Дол.",BA379,IF(Главная!$P$9="гривен.",AS379,IF(Главная!$P$9="рублей.",AL379,AS379)))</f>
        <v>0</v>
      </c>
      <c r="N379" s="162">
        <f>IF(Главная!$P$9="Дол.",BB379,IF(Главная!$P$9="гривен.",AT379,IF(Главная!$P$9="рублей.",AM379,AT379)))</f>
        <v>0</v>
      </c>
      <c r="O379" s="162">
        <f>IF(Главная!$P$9="Дол.",BC379,IF(Главная!$P$9="гривен.",AU379,IF(Главная!$P$9="рублей.",AN379,AU379)))</f>
        <v>0</v>
      </c>
      <c r="P379" s="141">
        <v>2.23</v>
      </c>
      <c r="Q379" s="141">
        <v>2.23</v>
      </c>
    </row>
    <row r="380" spans="1:17" s="140" customFormat="1" ht="12.75" customHeight="1">
      <c r="A380" s="150">
        <f>IF(Главная!$P$9="Дол.",AX380,IF(Главная!$P$9="гривен.",AP380,IF(Главная!$P$9="рублей.",AI380,AP380)))</f>
        <v>0</v>
      </c>
      <c r="B380" s="141">
        <v>1.21</v>
      </c>
      <c r="J380" s="141">
        <v>1.21</v>
      </c>
      <c r="K380" s="162">
        <f>IF(Главная!$P$9="Дол.",AY380,IF(Главная!$P$9="гривен.",AQ380,IF(Главная!$P$9="рублей.",AJ380,AQ380)))</f>
        <v>0</v>
      </c>
      <c r="L380" s="162">
        <f>IF(Главная!$P$9="Дол.",AZ380,IF(Главная!$P$9="гривен.",AR380,IF(Главная!$P$9="рублей.",AK380,AR380)))</f>
        <v>0</v>
      </c>
      <c r="M380" s="162">
        <f>IF(Главная!$P$9="Дол.",BA380,IF(Главная!$P$9="гривен.",AS380,IF(Главная!$P$9="рублей.",AL380,AS380)))</f>
        <v>0</v>
      </c>
      <c r="N380" s="162">
        <f>IF(Главная!$P$9="Дол.",BB380,IF(Главная!$P$9="гривен.",AT380,IF(Главная!$P$9="рублей.",AM380,AT380)))</f>
        <v>0</v>
      </c>
      <c r="O380" s="162">
        <f>IF(Главная!$P$9="Дол.",BC380,IF(Главная!$P$9="гривен.",AU380,IF(Главная!$P$9="рублей.",AN380,AU380)))</f>
        <v>0</v>
      </c>
      <c r="P380" s="141">
        <v>1.21</v>
      </c>
      <c r="Q380" s="141">
        <v>1.21</v>
      </c>
    </row>
    <row r="381" spans="1:17" s="140" customFormat="1" ht="12.75" customHeight="1">
      <c r="A381" s="150">
        <f>IF(Главная!$P$9="Дол.",AX381,IF(Главная!$P$9="гривен.",AP381,IF(Главная!$P$9="рублей.",AI381,AP381)))</f>
        <v>0</v>
      </c>
      <c r="B381" s="141">
        <v>2.23</v>
      </c>
      <c r="J381" s="141">
        <v>2.23</v>
      </c>
      <c r="K381" s="162">
        <f>IF(Главная!$P$9="Дол.",AY381,IF(Главная!$P$9="гривен.",AQ381,IF(Главная!$P$9="рублей.",AJ381,AQ381)))</f>
        <v>0</v>
      </c>
      <c r="L381" s="162">
        <f>IF(Главная!$P$9="Дол.",AZ381,IF(Главная!$P$9="гривен.",AR381,IF(Главная!$P$9="рублей.",AK381,AR381)))</f>
        <v>0</v>
      </c>
      <c r="M381" s="162">
        <f>IF(Главная!$P$9="Дол.",BA381,IF(Главная!$P$9="гривен.",AS381,IF(Главная!$P$9="рублей.",AL381,AS381)))</f>
        <v>0</v>
      </c>
      <c r="N381" s="162">
        <f>IF(Главная!$P$9="Дол.",BB381,IF(Главная!$P$9="гривен.",AT381,IF(Главная!$P$9="рублей.",AM381,AT381)))</f>
        <v>0</v>
      </c>
      <c r="O381" s="162">
        <f>IF(Главная!$P$9="Дол.",BC381,IF(Главная!$P$9="гривен.",AU381,IF(Главная!$P$9="рублей.",AN381,AU381)))</f>
        <v>0</v>
      </c>
      <c r="P381" s="141">
        <v>2.23</v>
      </c>
      <c r="Q381" s="141">
        <v>2.23</v>
      </c>
    </row>
    <row r="382" spans="1:17" s="140" customFormat="1" ht="12.75" customHeight="1">
      <c r="A382" s="150">
        <f>IF(Главная!$P$9="Дол.",AX382,IF(Главная!$P$9="гривен.",AP382,IF(Главная!$P$9="рублей.",AI382,AP382)))</f>
        <v>0</v>
      </c>
      <c r="B382" s="141">
        <v>1.86</v>
      </c>
      <c r="J382" s="141">
        <v>1.86</v>
      </c>
      <c r="K382" s="162">
        <f>IF(Главная!$P$9="Дол.",AY382,IF(Главная!$P$9="гривен.",AQ382,IF(Главная!$P$9="рублей.",AJ382,AQ382)))</f>
        <v>0</v>
      </c>
      <c r="L382" s="162">
        <f>IF(Главная!$P$9="Дол.",AZ382,IF(Главная!$P$9="гривен.",AR382,IF(Главная!$P$9="рублей.",AK382,AR382)))</f>
        <v>0</v>
      </c>
      <c r="M382" s="162">
        <f>IF(Главная!$P$9="Дол.",BA382,IF(Главная!$P$9="гривен.",AS382,IF(Главная!$P$9="рублей.",AL382,AS382)))</f>
        <v>0</v>
      </c>
      <c r="N382" s="162">
        <f>IF(Главная!$P$9="Дол.",BB382,IF(Главная!$P$9="гривен.",AT382,IF(Главная!$P$9="рублей.",AM382,AT382)))</f>
        <v>0</v>
      </c>
      <c r="O382" s="162">
        <f>IF(Главная!$P$9="Дол.",BC382,IF(Главная!$P$9="гривен.",AU382,IF(Главная!$P$9="рублей.",AN382,AU382)))</f>
        <v>0</v>
      </c>
      <c r="P382" s="141">
        <v>1.86</v>
      </c>
      <c r="Q382" s="141">
        <v>1.86</v>
      </c>
    </row>
    <row r="383" spans="1:17" s="140" customFormat="1" ht="12.75" customHeight="1">
      <c r="A383" s="150">
        <f>IF(Главная!$P$9="Дол.",AX383,IF(Главная!$P$9="гривен.",AP383,IF(Главная!$P$9="рублей.",AI383,AP383)))</f>
        <v>0</v>
      </c>
      <c r="B383" s="141">
        <v>2.12</v>
      </c>
      <c r="J383" s="141">
        <v>2.12</v>
      </c>
      <c r="K383" s="162">
        <f>IF(Главная!$P$9="Дол.",AY383,IF(Главная!$P$9="гривен.",AQ383,IF(Главная!$P$9="рублей.",AJ383,AQ383)))</f>
        <v>0</v>
      </c>
      <c r="L383" s="162">
        <f>IF(Главная!$P$9="Дол.",AZ383,IF(Главная!$P$9="гривен.",AR383,IF(Главная!$P$9="рублей.",AK383,AR383)))</f>
        <v>0</v>
      </c>
      <c r="M383" s="162">
        <f>IF(Главная!$P$9="Дол.",BA383,IF(Главная!$P$9="гривен.",AS383,IF(Главная!$P$9="рублей.",AL383,AS383)))</f>
        <v>0</v>
      </c>
      <c r="N383" s="162">
        <f>IF(Главная!$P$9="Дол.",BB383,IF(Главная!$P$9="гривен.",AT383,IF(Главная!$P$9="рублей.",AM383,AT383)))</f>
        <v>0</v>
      </c>
      <c r="O383" s="162">
        <f>IF(Главная!$P$9="Дол.",BC383,IF(Главная!$P$9="гривен.",AU383,IF(Главная!$P$9="рублей.",AN383,AU383)))</f>
        <v>0</v>
      </c>
      <c r="P383" s="141">
        <v>2.12</v>
      </c>
      <c r="Q383" s="141">
        <v>2.12</v>
      </c>
    </row>
    <row r="384" spans="1:17" s="140" customFormat="1" ht="12.75" customHeight="1">
      <c r="A384" s="150">
        <f>IF(Главная!$P$9="Дол.",AX384,IF(Главная!$P$9="гривен.",AP384,IF(Главная!$P$9="рублей.",AI384,AP384)))</f>
        <v>0</v>
      </c>
      <c r="B384" s="141">
        <v>2.12</v>
      </c>
      <c r="J384" s="141">
        <v>2.12</v>
      </c>
      <c r="K384" s="162">
        <f>IF(Главная!$P$9="Дол.",AY384,IF(Главная!$P$9="гривен.",AQ384,IF(Главная!$P$9="рублей.",AJ384,AQ384)))</f>
        <v>0</v>
      </c>
      <c r="L384" s="162">
        <f>IF(Главная!$P$9="Дол.",AZ384,IF(Главная!$P$9="гривен.",AR384,IF(Главная!$P$9="рублей.",AK384,AR384)))</f>
        <v>0</v>
      </c>
      <c r="M384" s="162">
        <f>IF(Главная!$P$9="Дол.",BA384,IF(Главная!$P$9="гривен.",AS384,IF(Главная!$P$9="рублей.",AL384,AS384)))</f>
        <v>0</v>
      </c>
      <c r="N384" s="162">
        <f>IF(Главная!$P$9="Дол.",BB384,IF(Главная!$P$9="гривен.",AT384,IF(Главная!$P$9="рублей.",AM384,AT384)))</f>
        <v>0</v>
      </c>
      <c r="O384" s="162">
        <f>IF(Главная!$P$9="Дол.",BC384,IF(Главная!$P$9="гривен.",AU384,IF(Главная!$P$9="рублей.",AN384,AU384)))</f>
        <v>0</v>
      </c>
      <c r="P384" s="141">
        <v>2.12</v>
      </c>
      <c r="Q384" s="141">
        <v>2.12</v>
      </c>
    </row>
    <row r="385" spans="1:17" s="140" customFormat="1" ht="12.75" customHeight="1">
      <c r="A385" s="150">
        <f>IF(Главная!$P$9="Дол.",AX385,IF(Главная!$P$9="гривен.",AP385,IF(Главная!$P$9="рублей.",AI385,AP385)))</f>
        <v>0</v>
      </c>
      <c r="B385" s="141">
        <v>1.74</v>
      </c>
      <c r="J385" s="141">
        <v>1.74</v>
      </c>
      <c r="K385" s="162">
        <f>IF(Главная!$P$9="Дол.",AY385,IF(Главная!$P$9="гривен.",AQ385,IF(Главная!$P$9="рублей.",AJ385,AQ385)))</f>
        <v>0</v>
      </c>
      <c r="L385" s="162">
        <f>IF(Главная!$P$9="Дол.",AZ385,IF(Главная!$P$9="гривен.",AR385,IF(Главная!$P$9="рублей.",AK385,AR385)))</f>
        <v>0</v>
      </c>
      <c r="M385" s="162">
        <f>IF(Главная!$P$9="Дол.",BA385,IF(Главная!$P$9="гривен.",AS385,IF(Главная!$P$9="рублей.",AL385,AS385)))</f>
        <v>0</v>
      </c>
      <c r="N385" s="162">
        <f>IF(Главная!$P$9="Дол.",BB385,IF(Главная!$P$9="гривен.",AT385,IF(Главная!$P$9="рублей.",AM385,AT385)))</f>
        <v>0</v>
      </c>
      <c r="O385" s="162">
        <f>IF(Главная!$P$9="Дол.",BC385,IF(Главная!$P$9="гривен.",AU385,IF(Главная!$P$9="рублей.",AN385,AU385)))</f>
        <v>0</v>
      </c>
      <c r="P385" s="141">
        <v>1.74</v>
      </c>
      <c r="Q385" s="141">
        <v>1.74</v>
      </c>
    </row>
    <row r="386" spans="1:17" s="140" customFormat="1" ht="12.75" customHeight="1">
      <c r="A386" s="150">
        <f>IF(Главная!$P$9="Дол.",AX386,IF(Главная!$P$9="гривен.",AP386,IF(Главная!$P$9="рублей.",AI386,AP386)))</f>
        <v>0</v>
      </c>
      <c r="B386" s="141">
        <v>1.21</v>
      </c>
      <c r="J386" s="141">
        <v>1.21</v>
      </c>
      <c r="K386" s="162">
        <f>IF(Главная!$P$9="Дол.",AY386,IF(Главная!$P$9="гривен.",AQ386,IF(Главная!$P$9="рублей.",AJ386,AQ386)))</f>
        <v>0</v>
      </c>
      <c r="L386" s="162">
        <f>IF(Главная!$P$9="Дол.",AZ386,IF(Главная!$P$9="гривен.",AR386,IF(Главная!$P$9="рублей.",AK386,AR386)))</f>
        <v>0</v>
      </c>
      <c r="M386" s="162">
        <f>IF(Главная!$P$9="Дол.",BA386,IF(Главная!$P$9="гривен.",AS386,IF(Главная!$P$9="рублей.",AL386,AS386)))</f>
        <v>0</v>
      </c>
      <c r="N386" s="162">
        <f>IF(Главная!$P$9="Дол.",BB386,IF(Главная!$P$9="гривен.",AT386,IF(Главная!$P$9="рублей.",AM386,AT386)))</f>
        <v>0</v>
      </c>
      <c r="O386" s="162">
        <f>IF(Главная!$P$9="Дол.",BC386,IF(Главная!$P$9="гривен.",AU386,IF(Главная!$P$9="рублей.",AN386,AU386)))</f>
        <v>0</v>
      </c>
      <c r="P386" s="141">
        <v>1.21</v>
      </c>
      <c r="Q386" s="141">
        <v>1.21</v>
      </c>
    </row>
    <row r="387" spans="1:17" s="140" customFormat="1" ht="12.75" customHeight="1">
      <c r="A387" s="150">
        <f>IF(Главная!$P$9="Дол.",AX387,IF(Главная!$P$9="гривен.",AP387,IF(Главная!$P$9="рублей.",AI387,AP387)))</f>
        <v>0</v>
      </c>
      <c r="B387" s="141">
        <v>2.12</v>
      </c>
      <c r="J387" s="141">
        <v>2.12</v>
      </c>
      <c r="K387" s="162">
        <f>IF(Главная!$P$9="Дол.",AY387,IF(Главная!$P$9="гривен.",AQ387,IF(Главная!$P$9="рублей.",AJ387,AQ387)))</f>
        <v>0</v>
      </c>
      <c r="L387" s="162">
        <f>IF(Главная!$P$9="Дол.",AZ387,IF(Главная!$P$9="гривен.",AR387,IF(Главная!$P$9="рублей.",AK387,AR387)))</f>
        <v>0</v>
      </c>
      <c r="M387" s="162">
        <f>IF(Главная!$P$9="Дол.",BA387,IF(Главная!$P$9="гривен.",AS387,IF(Главная!$P$9="рублей.",AL387,AS387)))</f>
        <v>0</v>
      </c>
      <c r="N387" s="162">
        <f>IF(Главная!$P$9="Дол.",BB387,IF(Главная!$P$9="гривен.",AT387,IF(Главная!$P$9="рублей.",AM387,AT387)))</f>
        <v>0</v>
      </c>
      <c r="O387" s="162">
        <f>IF(Главная!$P$9="Дол.",BC387,IF(Главная!$P$9="гривен.",AU387,IF(Главная!$P$9="рублей.",AN387,AU387)))</f>
        <v>0</v>
      </c>
      <c r="P387" s="141">
        <v>2.12</v>
      </c>
      <c r="Q387" s="141">
        <v>2.12</v>
      </c>
    </row>
    <row r="388" spans="1:17" s="140" customFormat="1" ht="12.75" customHeight="1">
      <c r="A388" s="150">
        <f>IF(Главная!$P$9="Дол.",AX388,IF(Главная!$P$9="гривен.",AP388,IF(Главная!$P$9="рублей.",AI388,AP388)))</f>
        <v>0</v>
      </c>
      <c r="B388" s="141">
        <v>12</v>
      </c>
      <c r="J388" s="141">
        <v>12</v>
      </c>
      <c r="K388" s="162">
        <f>IF(Главная!$P$9="Дол.",AY388,IF(Главная!$P$9="гривен.",AQ388,IF(Главная!$P$9="рублей.",AJ388,AQ388)))</f>
        <v>0</v>
      </c>
      <c r="L388" s="162">
        <f>IF(Главная!$P$9="Дол.",AZ388,IF(Главная!$P$9="гривен.",AR388,IF(Главная!$P$9="рублей.",AK388,AR388)))</f>
        <v>0</v>
      </c>
      <c r="M388" s="162">
        <f>IF(Главная!$P$9="Дол.",BA388,IF(Главная!$P$9="гривен.",AS388,IF(Главная!$P$9="рублей.",AL388,AS388)))</f>
        <v>0</v>
      </c>
      <c r="N388" s="162">
        <f>IF(Главная!$P$9="Дол.",BB388,IF(Главная!$P$9="гривен.",AT388,IF(Главная!$P$9="рублей.",AM388,AT388)))</f>
        <v>0</v>
      </c>
      <c r="O388" s="162">
        <f>IF(Главная!$P$9="Дол.",BC388,IF(Главная!$P$9="гривен.",AU388,IF(Главная!$P$9="рублей.",AN388,AU388)))</f>
        <v>0</v>
      </c>
      <c r="P388" s="141">
        <v>12</v>
      </c>
      <c r="Q388" s="141">
        <v>12</v>
      </c>
    </row>
    <row r="389" spans="1:17" s="140" customFormat="1" ht="12.75" customHeight="1">
      <c r="A389" s="150">
        <f>IF(Главная!$P$9="Дол.",AX389,IF(Главная!$P$9="гривен.",AP389,IF(Главная!$P$9="рублей.",AI389,AP389)))</f>
        <v>0</v>
      </c>
      <c r="B389" s="141">
        <v>2.12</v>
      </c>
      <c r="J389" s="141">
        <v>2.12</v>
      </c>
      <c r="K389" s="162">
        <f>IF(Главная!$P$9="Дол.",AY389,IF(Главная!$P$9="гривен.",AQ389,IF(Главная!$P$9="рублей.",AJ389,AQ389)))</f>
        <v>0</v>
      </c>
      <c r="L389" s="162">
        <f>IF(Главная!$P$9="Дол.",AZ389,IF(Главная!$P$9="гривен.",AR389,IF(Главная!$P$9="рублей.",AK389,AR389)))</f>
        <v>0</v>
      </c>
      <c r="M389" s="162">
        <f>IF(Главная!$P$9="Дол.",BA389,IF(Главная!$P$9="гривен.",AS389,IF(Главная!$P$9="рублей.",AL389,AS389)))</f>
        <v>0</v>
      </c>
      <c r="N389" s="162">
        <f>IF(Главная!$P$9="Дол.",BB389,IF(Главная!$P$9="гривен.",AT389,IF(Главная!$P$9="рублей.",AM389,AT389)))</f>
        <v>0</v>
      </c>
      <c r="O389" s="162">
        <f>IF(Главная!$P$9="Дол.",BC389,IF(Главная!$P$9="гривен.",AU389,IF(Главная!$P$9="рублей.",AN389,AU389)))</f>
        <v>0</v>
      </c>
      <c r="P389" s="141">
        <v>2.12</v>
      </c>
      <c r="Q389" s="141">
        <v>2.12</v>
      </c>
    </row>
    <row r="390" spans="1:17" s="140" customFormat="1" ht="12.75" customHeight="1">
      <c r="A390" s="150">
        <f>IF(Главная!$P$9="Дол.",AX390,IF(Главная!$P$9="гривен.",AP390,IF(Главная!$P$9="рублей.",AI390,AP390)))</f>
        <v>0</v>
      </c>
      <c r="B390" s="141">
        <v>2.12</v>
      </c>
      <c r="J390" s="141">
        <v>2.12</v>
      </c>
      <c r="K390" s="162">
        <f>IF(Главная!$P$9="Дол.",AY390,IF(Главная!$P$9="гривен.",AQ390,IF(Главная!$P$9="рублей.",AJ390,AQ390)))</f>
        <v>0</v>
      </c>
      <c r="L390" s="162">
        <f>IF(Главная!$P$9="Дол.",AZ390,IF(Главная!$P$9="гривен.",AR390,IF(Главная!$P$9="рублей.",AK390,AR390)))</f>
        <v>0</v>
      </c>
      <c r="M390" s="162">
        <f>IF(Главная!$P$9="Дол.",BA390,IF(Главная!$P$9="гривен.",AS390,IF(Главная!$P$9="рублей.",AL390,AS390)))</f>
        <v>0</v>
      </c>
      <c r="N390" s="162">
        <f>IF(Главная!$P$9="Дол.",BB390,IF(Главная!$P$9="гривен.",AT390,IF(Главная!$P$9="рублей.",AM390,AT390)))</f>
        <v>0</v>
      </c>
      <c r="O390" s="162">
        <f>IF(Главная!$P$9="Дол.",BC390,IF(Главная!$P$9="гривен.",AU390,IF(Главная!$P$9="рублей.",AN390,AU390)))</f>
        <v>0</v>
      </c>
      <c r="P390" s="141">
        <v>2.12</v>
      </c>
      <c r="Q390" s="141">
        <v>2.12</v>
      </c>
    </row>
    <row r="391" spans="1:17" s="140" customFormat="1" ht="12.75" customHeight="1">
      <c r="A391" s="150">
        <f>IF(Главная!$P$9="Дол.",AX391,IF(Главная!$P$9="гривен.",AP391,IF(Главная!$P$9="рублей.",AI391,AP391)))</f>
        <v>0</v>
      </c>
      <c r="B391" s="141">
        <v>2.59</v>
      </c>
      <c r="J391" s="141">
        <v>2.59</v>
      </c>
      <c r="K391" s="162">
        <f>IF(Главная!$P$9="Дол.",AY391,IF(Главная!$P$9="гривен.",AQ391,IF(Главная!$P$9="рублей.",AJ391,AQ391)))</f>
        <v>0</v>
      </c>
      <c r="L391" s="162">
        <f>IF(Главная!$P$9="Дол.",AZ391,IF(Главная!$P$9="гривен.",AR391,IF(Главная!$P$9="рублей.",AK391,AR391)))</f>
        <v>0</v>
      </c>
      <c r="M391" s="162">
        <f>IF(Главная!$P$9="Дол.",BA391,IF(Главная!$P$9="гривен.",AS391,IF(Главная!$P$9="рублей.",AL391,AS391)))</f>
        <v>0</v>
      </c>
      <c r="N391" s="162">
        <f>IF(Главная!$P$9="Дол.",BB391,IF(Главная!$P$9="гривен.",AT391,IF(Главная!$P$9="рублей.",AM391,AT391)))</f>
        <v>0</v>
      </c>
      <c r="O391" s="162">
        <f>IF(Главная!$P$9="Дол.",BC391,IF(Главная!$P$9="гривен.",AU391,IF(Главная!$P$9="рублей.",AN391,AU391)))</f>
        <v>0</v>
      </c>
      <c r="P391" s="141">
        <v>2.59</v>
      </c>
      <c r="Q391" s="141">
        <v>2.59</v>
      </c>
    </row>
    <row r="392" spans="1:17" s="140" customFormat="1" ht="12.75" customHeight="1">
      <c r="A392" s="150">
        <f>IF(Главная!$P$9="Дол.",AX392,IF(Главная!$P$9="гривен.",AP392,IF(Главная!$P$9="рублей.",AI392,AP392)))</f>
        <v>0</v>
      </c>
      <c r="B392" s="141">
        <v>2.23</v>
      </c>
      <c r="J392" s="141">
        <v>2.23</v>
      </c>
      <c r="K392" s="162">
        <f>IF(Главная!$P$9="Дол.",AY392,IF(Главная!$P$9="гривен.",AQ392,IF(Главная!$P$9="рублей.",AJ392,AQ392)))</f>
        <v>0</v>
      </c>
      <c r="L392" s="162">
        <f>IF(Главная!$P$9="Дол.",AZ392,IF(Главная!$P$9="гривен.",AR392,IF(Главная!$P$9="рублей.",AK392,AR392)))</f>
        <v>0</v>
      </c>
      <c r="M392" s="162">
        <f>IF(Главная!$P$9="Дол.",BA392,IF(Главная!$P$9="гривен.",AS392,IF(Главная!$P$9="рублей.",AL392,AS392)))</f>
        <v>0</v>
      </c>
      <c r="N392" s="162">
        <f>IF(Главная!$P$9="Дол.",BB392,IF(Главная!$P$9="гривен.",AT392,IF(Главная!$P$9="рублей.",AM392,AT392)))</f>
        <v>0</v>
      </c>
      <c r="O392" s="162">
        <f>IF(Главная!$P$9="Дол.",BC392,IF(Главная!$P$9="гривен.",AU392,IF(Главная!$P$9="рублей.",AN392,AU392)))</f>
        <v>0</v>
      </c>
      <c r="P392" s="141">
        <v>2.23</v>
      </c>
      <c r="Q392" s="141">
        <v>2.23</v>
      </c>
    </row>
    <row r="393" spans="1:17" s="140" customFormat="1" ht="12.75" customHeight="1">
      <c r="A393" s="150">
        <f>IF(Главная!$P$9="Дол.",AX393,IF(Главная!$P$9="гривен.",AP393,IF(Главная!$P$9="рублей.",AI393,AP393)))</f>
        <v>0</v>
      </c>
      <c r="B393" s="141">
        <v>2.95</v>
      </c>
      <c r="J393" s="141">
        <v>2.95</v>
      </c>
      <c r="K393" s="162">
        <f>IF(Главная!$P$9="Дол.",AY393,IF(Главная!$P$9="гривен.",AQ393,IF(Главная!$P$9="рублей.",AJ393,AQ393)))</f>
        <v>0</v>
      </c>
      <c r="L393" s="162">
        <f>IF(Главная!$P$9="Дол.",AZ393,IF(Главная!$P$9="гривен.",AR393,IF(Главная!$P$9="рублей.",AK393,AR393)))</f>
        <v>0</v>
      </c>
      <c r="M393" s="162">
        <f>IF(Главная!$P$9="Дол.",BA393,IF(Главная!$P$9="гривен.",AS393,IF(Главная!$P$9="рублей.",AL393,AS393)))</f>
        <v>0</v>
      </c>
      <c r="N393" s="162">
        <f>IF(Главная!$P$9="Дол.",BB393,IF(Главная!$P$9="гривен.",AT393,IF(Главная!$P$9="рублей.",AM393,AT393)))</f>
        <v>0</v>
      </c>
      <c r="O393" s="162">
        <f>IF(Главная!$P$9="Дол.",BC393,IF(Главная!$P$9="гривен.",AU393,IF(Главная!$P$9="рублей.",AN393,AU393)))</f>
        <v>0</v>
      </c>
      <c r="P393" s="141">
        <v>2.95</v>
      </c>
      <c r="Q393" s="141">
        <v>2.95</v>
      </c>
    </row>
    <row r="394" spans="1:17" s="140" customFormat="1" ht="12.75" customHeight="1">
      <c r="A394" s="150">
        <f>IF(Главная!$P$9="Дол.",AX394,IF(Главная!$P$9="гривен.",AP394,IF(Главная!$P$9="рублей.",AI394,AP394)))</f>
        <v>0</v>
      </c>
      <c r="B394" s="141">
        <v>1.21</v>
      </c>
      <c r="J394" s="141">
        <v>1.21</v>
      </c>
      <c r="K394" s="162">
        <f>IF(Главная!$P$9="Дол.",AY394,IF(Главная!$P$9="гривен.",AQ394,IF(Главная!$P$9="рублей.",AJ394,AQ394)))</f>
        <v>0</v>
      </c>
      <c r="L394" s="162">
        <f>IF(Главная!$P$9="Дол.",AZ394,IF(Главная!$P$9="гривен.",AR394,IF(Главная!$P$9="рублей.",AK394,AR394)))</f>
        <v>0</v>
      </c>
      <c r="M394" s="162">
        <f>IF(Главная!$P$9="Дол.",BA394,IF(Главная!$P$9="гривен.",AS394,IF(Главная!$P$9="рублей.",AL394,AS394)))</f>
        <v>0</v>
      </c>
      <c r="N394" s="162">
        <f>IF(Главная!$P$9="Дол.",BB394,IF(Главная!$P$9="гривен.",AT394,IF(Главная!$P$9="рублей.",AM394,AT394)))</f>
        <v>0</v>
      </c>
      <c r="O394" s="162">
        <f>IF(Главная!$P$9="Дол.",BC394,IF(Главная!$P$9="гривен.",AU394,IF(Главная!$P$9="рублей.",AN394,AU394)))</f>
        <v>0</v>
      </c>
      <c r="P394" s="141">
        <v>1.21</v>
      </c>
      <c r="Q394" s="141">
        <v>1.21</v>
      </c>
    </row>
    <row r="395" spans="1:17" s="140" customFormat="1" ht="12.75" customHeight="1">
      <c r="A395" s="150">
        <f>IF(Главная!$P$9="Дол.",AX395,IF(Главная!$P$9="гривен.",AP395,IF(Главная!$P$9="рублей.",AI395,AP395)))</f>
        <v>0</v>
      </c>
      <c r="B395" s="141">
        <v>12</v>
      </c>
      <c r="J395" s="141">
        <v>12</v>
      </c>
      <c r="K395" s="162">
        <f>IF(Главная!$P$9="Дол.",AY395,IF(Главная!$P$9="гривен.",AQ395,IF(Главная!$P$9="рублей.",AJ395,AQ395)))</f>
        <v>0</v>
      </c>
      <c r="L395" s="162">
        <f>IF(Главная!$P$9="Дол.",AZ395,IF(Главная!$P$9="гривен.",AR395,IF(Главная!$P$9="рублей.",AK395,AR395)))</f>
        <v>0</v>
      </c>
      <c r="M395" s="162">
        <f>IF(Главная!$P$9="Дол.",BA395,IF(Главная!$P$9="гривен.",AS395,IF(Главная!$P$9="рублей.",AL395,AS395)))</f>
        <v>0</v>
      </c>
      <c r="N395" s="162">
        <f>IF(Главная!$P$9="Дол.",BB395,IF(Главная!$P$9="гривен.",AT395,IF(Главная!$P$9="рублей.",AM395,AT395)))</f>
        <v>0</v>
      </c>
      <c r="O395" s="162">
        <f>IF(Главная!$P$9="Дол.",BC395,IF(Главная!$P$9="гривен.",AU395,IF(Главная!$P$9="рублей.",AN395,AU395)))</f>
        <v>0</v>
      </c>
      <c r="P395" s="141">
        <v>12</v>
      </c>
      <c r="Q395" s="141">
        <v>12</v>
      </c>
    </row>
    <row r="396" spans="1:17" s="140" customFormat="1" ht="12.75" customHeight="1">
      <c r="A396" s="150">
        <f>IF(Главная!$P$9="Дол.",AX396,IF(Главная!$P$9="гривен.",AP396,IF(Главная!$P$9="рублей.",AI396,AP396)))</f>
        <v>0</v>
      </c>
      <c r="B396" s="141">
        <v>1.86</v>
      </c>
      <c r="J396" s="141">
        <v>1.86</v>
      </c>
      <c r="K396" s="162">
        <f>IF(Главная!$P$9="Дол.",AY396,IF(Главная!$P$9="гривен.",AQ396,IF(Главная!$P$9="рублей.",AJ396,AQ396)))</f>
        <v>0</v>
      </c>
      <c r="L396" s="162">
        <f>IF(Главная!$P$9="Дол.",AZ396,IF(Главная!$P$9="гривен.",AR396,IF(Главная!$P$9="рублей.",AK396,AR396)))</f>
        <v>0</v>
      </c>
      <c r="M396" s="162">
        <f>IF(Главная!$P$9="Дол.",BA396,IF(Главная!$P$9="гривен.",AS396,IF(Главная!$P$9="рублей.",AL396,AS396)))</f>
        <v>0</v>
      </c>
      <c r="N396" s="162">
        <f>IF(Главная!$P$9="Дол.",BB396,IF(Главная!$P$9="гривен.",AT396,IF(Главная!$P$9="рублей.",AM396,AT396)))</f>
        <v>0</v>
      </c>
      <c r="O396" s="162">
        <f>IF(Главная!$P$9="Дол.",BC396,IF(Главная!$P$9="гривен.",AU396,IF(Главная!$P$9="рублей.",AN396,AU396)))</f>
        <v>0</v>
      </c>
      <c r="P396" s="141">
        <v>1.86</v>
      </c>
      <c r="Q396" s="141">
        <v>1.86</v>
      </c>
    </row>
    <row r="397" spans="1:17" s="140" customFormat="1" ht="12.75" customHeight="1">
      <c r="A397" s="150">
        <f>IF(Главная!$P$9="Дол.",AX397,IF(Главная!$P$9="гривен.",AP397,IF(Главная!$P$9="рублей.",AI397,AP397)))</f>
        <v>0</v>
      </c>
      <c r="B397" s="141">
        <v>1.86</v>
      </c>
      <c r="J397" s="141">
        <v>1.86</v>
      </c>
      <c r="K397" s="162">
        <f>IF(Главная!$P$9="Дол.",AY397,IF(Главная!$P$9="гривен.",AQ397,IF(Главная!$P$9="рублей.",AJ397,AQ397)))</f>
        <v>0</v>
      </c>
      <c r="L397" s="162">
        <f>IF(Главная!$P$9="Дол.",AZ397,IF(Главная!$P$9="гривен.",AR397,IF(Главная!$P$9="рублей.",AK397,AR397)))</f>
        <v>0</v>
      </c>
      <c r="M397" s="162">
        <f>IF(Главная!$P$9="Дол.",BA397,IF(Главная!$P$9="гривен.",AS397,IF(Главная!$P$9="рублей.",AL397,AS397)))</f>
        <v>0</v>
      </c>
      <c r="N397" s="162">
        <f>IF(Главная!$P$9="Дол.",BB397,IF(Главная!$P$9="гривен.",AT397,IF(Главная!$P$9="рублей.",AM397,AT397)))</f>
        <v>0</v>
      </c>
      <c r="O397" s="162">
        <f>IF(Главная!$P$9="Дол.",BC397,IF(Главная!$P$9="гривен.",AU397,IF(Главная!$P$9="рублей.",AN397,AU397)))</f>
        <v>0</v>
      </c>
      <c r="P397" s="141">
        <v>1.86</v>
      </c>
      <c r="Q397" s="141">
        <v>1.86</v>
      </c>
    </row>
    <row r="398" spans="1:17" s="140" customFormat="1" ht="12.75" customHeight="1">
      <c r="A398" s="150">
        <f>IF(Главная!$P$9="Дол.",AX398,IF(Главная!$P$9="гривен.",AP398,IF(Главная!$P$9="рублей.",AI398,AP398)))</f>
        <v>0</v>
      </c>
      <c r="B398" s="141">
        <v>12</v>
      </c>
      <c r="J398" s="141">
        <v>12</v>
      </c>
      <c r="K398" s="162">
        <f>IF(Главная!$P$9="Дол.",AY398,IF(Главная!$P$9="гривен.",AQ398,IF(Главная!$P$9="рублей.",AJ398,AQ398)))</f>
        <v>0</v>
      </c>
      <c r="L398" s="162">
        <f>IF(Главная!$P$9="Дол.",AZ398,IF(Главная!$P$9="гривен.",AR398,IF(Главная!$P$9="рублей.",AK398,AR398)))</f>
        <v>0</v>
      </c>
      <c r="M398" s="162">
        <f>IF(Главная!$P$9="Дол.",BA398,IF(Главная!$P$9="гривен.",AS398,IF(Главная!$P$9="рублей.",AL398,AS398)))</f>
        <v>0</v>
      </c>
      <c r="N398" s="162">
        <f>IF(Главная!$P$9="Дол.",BB398,IF(Главная!$P$9="гривен.",AT398,IF(Главная!$P$9="рублей.",AM398,AT398)))</f>
        <v>0</v>
      </c>
      <c r="O398" s="162">
        <f>IF(Главная!$P$9="Дол.",BC398,IF(Главная!$P$9="гривен.",AU398,IF(Главная!$P$9="рублей.",AN398,AU398)))</f>
        <v>0</v>
      </c>
      <c r="P398" s="141">
        <v>12</v>
      </c>
      <c r="Q398" s="141">
        <v>12</v>
      </c>
    </row>
    <row r="399" spans="1:17" s="140" customFormat="1" ht="12.75" customHeight="1">
      <c r="A399" s="150">
        <f>IF(Главная!$P$9="Дол.",AX399,IF(Главная!$P$9="гривен.",AP399,IF(Главная!$P$9="рублей.",AI399,AP399)))</f>
        <v>0</v>
      </c>
      <c r="B399" s="141">
        <v>2.12</v>
      </c>
      <c r="J399" s="141">
        <v>2.12</v>
      </c>
      <c r="K399" s="162">
        <f>IF(Главная!$P$9="Дол.",AY399,IF(Главная!$P$9="гривен.",AQ399,IF(Главная!$P$9="рублей.",AJ399,AQ399)))</f>
        <v>0</v>
      </c>
      <c r="L399" s="162">
        <f>IF(Главная!$P$9="Дол.",AZ399,IF(Главная!$P$9="гривен.",AR399,IF(Главная!$P$9="рублей.",AK399,AR399)))</f>
        <v>0</v>
      </c>
      <c r="M399" s="162">
        <f>IF(Главная!$P$9="Дол.",BA399,IF(Главная!$P$9="гривен.",AS399,IF(Главная!$P$9="рублей.",AL399,AS399)))</f>
        <v>0</v>
      </c>
      <c r="N399" s="162">
        <f>IF(Главная!$P$9="Дол.",BB399,IF(Главная!$P$9="гривен.",AT399,IF(Главная!$P$9="рублей.",AM399,AT399)))</f>
        <v>0</v>
      </c>
      <c r="O399" s="162">
        <f>IF(Главная!$P$9="Дол.",BC399,IF(Главная!$P$9="гривен.",AU399,IF(Главная!$P$9="рублей.",AN399,AU399)))</f>
        <v>0</v>
      </c>
      <c r="P399" s="141">
        <v>2.12</v>
      </c>
      <c r="Q399" s="141">
        <v>2.12</v>
      </c>
    </row>
    <row r="400" spans="1:17" s="140" customFormat="1" ht="12.75" customHeight="1">
      <c r="A400" s="150">
        <f>IF(Главная!$P$9="Дол.",AX400,IF(Главная!$P$9="гривен.",AP400,IF(Главная!$P$9="рублей.",AI400,AP400)))</f>
        <v>0</v>
      </c>
      <c r="B400" s="141">
        <v>1.86</v>
      </c>
      <c r="J400" s="141">
        <v>1.86</v>
      </c>
      <c r="K400" s="162">
        <f>IF(Главная!$P$9="Дол.",AY400,IF(Главная!$P$9="гривен.",AQ400,IF(Главная!$P$9="рублей.",AJ400,AQ400)))</f>
        <v>0</v>
      </c>
      <c r="L400" s="162">
        <f>IF(Главная!$P$9="Дол.",AZ400,IF(Главная!$P$9="гривен.",AR400,IF(Главная!$P$9="рублей.",AK400,AR400)))</f>
        <v>0</v>
      </c>
      <c r="M400" s="162">
        <f>IF(Главная!$P$9="Дол.",BA400,IF(Главная!$P$9="гривен.",AS400,IF(Главная!$P$9="рублей.",AL400,AS400)))</f>
        <v>0</v>
      </c>
      <c r="N400" s="162">
        <f>IF(Главная!$P$9="Дол.",BB400,IF(Главная!$P$9="гривен.",AT400,IF(Главная!$P$9="рублей.",AM400,AT400)))</f>
        <v>0</v>
      </c>
      <c r="O400" s="162">
        <f>IF(Главная!$P$9="Дол.",BC400,IF(Главная!$P$9="гривен.",AU400,IF(Главная!$P$9="рублей.",AN400,AU400)))</f>
        <v>0</v>
      </c>
      <c r="P400" s="141">
        <v>1.86</v>
      </c>
      <c r="Q400" s="141">
        <v>1.86</v>
      </c>
    </row>
    <row r="401" spans="1:17" s="140" customFormat="1" ht="12.75" customHeight="1">
      <c r="A401" s="150">
        <f>IF(Главная!$P$9="Дол.",AX401,IF(Главная!$P$9="гривен.",AP401,IF(Главная!$P$9="рублей.",AI401,AP401)))</f>
        <v>0</v>
      </c>
      <c r="B401" s="141">
        <v>1.86</v>
      </c>
      <c r="J401" s="141">
        <v>1.86</v>
      </c>
      <c r="K401" s="162">
        <f>IF(Главная!$P$9="Дол.",AY401,IF(Главная!$P$9="гривен.",AQ401,IF(Главная!$P$9="рублей.",AJ401,AQ401)))</f>
        <v>0</v>
      </c>
      <c r="L401" s="162">
        <f>IF(Главная!$P$9="Дол.",AZ401,IF(Главная!$P$9="гривен.",AR401,IF(Главная!$P$9="рублей.",AK401,AR401)))</f>
        <v>0</v>
      </c>
      <c r="M401" s="162">
        <f>IF(Главная!$P$9="Дол.",BA401,IF(Главная!$P$9="гривен.",AS401,IF(Главная!$P$9="рублей.",AL401,AS401)))</f>
        <v>0</v>
      </c>
      <c r="N401" s="162">
        <f>IF(Главная!$P$9="Дол.",BB401,IF(Главная!$P$9="гривен.",AT401,IF(Главная!$P$9="рублей.",AM401,AT401)))</f>
        <v>0</v>
      </c>
      <c r="O401" s="162">
        <f>IF(Главная!$P$9="Дол.",BC401,IF(Главная!$P$9="гривен.",AU401,IF(Главная!$P$9="рублей.",AN401,AU401)))</f>
        <v>0</v>
      </c>
      <c r="P401" s="141">
        <v>1.86</v>
      </c>
      <c r="Q401" s="141">
        <v>1.86</v>
      </c>
    </row>
    <row r="402" spans="1:17" s="140" customFormat="1" ht="12.75" customHeight="1">
      <c r="A402" s="150">
        <f>IF(Главная!$P$9="Дол.",AX402,IF(Главная!$P$9="гривен.",AP402,IF(Главная!$P$9="рублей.",AI402,AP402)))</f>
        <v>0</v>
      </c>
      <c r="B402" s="141">
        <v>2.12</v>
      </c>
      <c r="J402" s="141">
        <v>2.12</v>
      </c>
      <c r="K402" s="162">
        <f>IF(Главная!$P$9="Дол.",AY402,IF(Главная!$P$9="гривен.",AQ402,IF(Главная!$P$9="рублей.",AJ402,AQ402)))</f>
        <v>0</v>
      </c>
      <c r="L402" s="162">
        <f>IF(Главная!$P$9="Дол.",AZ402,IF(Главная!$P$9="гривен.",AR402,IF(Главная!$P$9="рублей.",AK402,AR402)))</f>
        <v>0</v>
      </c>
      <c r="M402" s="162">
        <f>IF(Главная!$P$9="Дол.",BA402,IF(Главная!$P$9="гривен.",AS402,IF(Главная!$P$9="рублей.",AL402,AS402)))</f>
        <v>0</v>
      </c>
      <c r="N402" s="162">
        <f>IF(Главная!$P$9="Дол.",BB402,IF(Главная!$P$9="гривен.",AT402,IF(Главная!$P$9="рублей.",AM402,AT402)))</f>
        <v>0</v>
      </c>
      <c r="O402" s="162">
        <f>IF(Главная!$P$9="Дол.",BC402,IF(Главная!$P$9="гривен.",AU402,IF(Главная!$P$9="рублей.",AN402,AU402)))</f>
        <v>0</v>
      </c>
      <c r="P402" s="141">
        <v>2.12</v>
      </c>
      <c r="Q402" s="141">
        <v>2.12</v>
      </c>
    </row>
    <row r="403" spans="1:17" s="140" customFormat="1" ht="12.75" customHeight="1">
      <c r="A403" s="150">
        <f>IF(Главная!$P$9="Дол.",AX403,IF(Главная!$P$9="гривен.",AP403,IF(Главная!$P$9="рублей.",AI403,AP403)))</f>
        <v>0</v>
      </c>
      <c r="B403" s="141">
        <v>1.74</v>
      </c>
      <c r="J403" s="141">
        <v>1.74</v>
      </c>
      <c r="K403" s="162">
        <f>IF(Главная!$P$9="Дол.",AY403,IF(Главная!$P$9="гривен.",AQ403,IF(Главная!$P$9="рублей.",AJ403,AQ403)))</f>
        <v>0</v>
      </c>
      <c r="L403" s="162">
        <f>IF(Главная!$P$9="Дол.",AZ403,IF(Главная!$P$9="гривен.",AR403,IF(Главная!$P$9="рублей.",AK403,AR403)))</f>
        <v>0</v>
      </c>
      <c r="M403" s="162">
        <f>IF(Главная!$P$9="Дол.",BA403,IF(Главная!$P$9="гривен.",AS403,IF(Главная!$P$9="рублей.",AL403,AS403)))</f>
        <v>0</v>
      </c>
      <c r="N403" s="162">
        <f>IF(Главная!$P$9="Дол.",BB403,IF(Главная!$P$9="гривен.",AT403,IF(Главная!$P$9="рублей.",AM403,AT403)))</f>
        <v>0</v>
      </c>
      <c r="O403" s="162">
        <f>IF(Главная!$P$9="Дол.",BC403,IF(Главная!$P$9="гривен.",AU403,IF(Главная!$P$9="рублей.",AN403,AU403)))</f>
        <v>0</v>
      </c>
      <c r="P403" s="141">
        <v>1.74</v>
      </c>
      <c r="Q403" s="141">
        <v>1.74</v>
      </c>
    </row>
    <row r="404" spans="1:17" s="140" customFormat="1" ht="12.75" customHeight="1">
      <c r="A404" s="150">
        <f>IF(Главная!$P$9="Дол.",AX404,IF(Главная!$P$9="гривен.",AP404,IF(Главная!$P$9="рублей.",AI404,AP404)))</f>
        <v>0</v>
      </c>
      <c r="B404" s="141">
        <v>1.86</v>
      </c>
      <c r="J404" s="141">
        <v>1.86</v>
      </c>
      <c r="K404" s="162">
        <f>IF(Главная!$P$9="Дол.",AY404,IF(Главная!$P$9="гривен.",AQ404,IF(Главная!$P$9="рублей.",AJ404,AQ404)))</f>
        <v>0</v>
      </c>
      <c r="L404" s="162">
        <f>IF(Главная!$P$9="Дол.",AZ404,IF(Главная!$P$9="гривен.",AR404,IF(Главная!$P$9="рублей.",AK404,AR404)))</f>
        <v>0</v>
      </c>
      <c r="M404" s="162">
        <f>IF(Главная!$P$9="Дол.",BA404,IF(Главная!$P$9="гривен.",AS404,IF(Главная!$P$9="рублей.",AL404,AS404)))</f>
        <v>0</v>
      </c>
      <c r="N404" s="162">
        <f>IF(Главная!$P$9="Дол.",BB404,IF(Главная!$P$9="гривен.",AT404,IF(Главная!$P$9="рублей.",AM404,AT404)))</f>
        <v>0</v>
      </c>
      <c r="O404" s="162">
        <f>IF(Главная!$P$9="Дол.",BC404,IF(Главная!$P$9="гривен.",AU404,IF(Главная!$P$9="рублей.",AN404,AU404)))</f>
        <v>0</v>
      </c>
      <c r="P404" s="141">
        <v>1.86</v>
      </c>
      <c r="Q404" s="141">
        <v>1.86</v>
      </c>
    </row>
    <row r="405" spans="1:17" s="140" customFormat="1" ht="12.75" customHeight="1">
      <c r="A405" s="150">
        <f>IF(Главная!$P$9="Дол.",AX405,IF(Главная!$P$9="гривен.",AP405,IF(Главная!$P$9="рублей.",AI405,AP405)))</f>
        <v>0</v>
      </c>
      <c r="B405" s="141">
        <v>1.21</v>
      </c>
      <c r="J405" s="141">
        <v>1.21</v>
      </c>
      <c r="K405" s="162">
        <f>IF(Главная!$P$9="Дол.",AY405,IF(Главная!$P$9="гривен.",AQ405,IF(Главная!$P$9="рублей.",AJ405,AQ405)))</f>
        <v>0</v>
      </c>
      <c r="L405" s="162">
        <f>IF(Главная!$P$9="Дол.",AZ405,IF(Главная!$P$9="гривен.",AR405,IF(Главная!$P$9="рублей.",AK405,AR405)))</f>
        <v>0</v>
      </c>
      <c r="M405" s="162">
        <f>IF(Главная!$P$9="Дол.",BA405,IF(Главная!$P$9="гривен.",AS405,IF(Главная!$P$9="рублей.",AL405,AS405)))</f>
        <v>0</v>
      </c>
      <c r="N405" s="162">
        <f>IF(Главная!$P$9="Дол.",BB405,IF(Главная!$P$9="гривен.",AT405,IF(Главная!$P$9="рублей.",AM405,AT405)))</f>
        <v>0</v>
      </c>
      <c r="O405" s="162">
        <f>IF(Главная!$P$9="Дол.",BC405,IF(Главная!$P$9="гривен.",AU405,IF(Главная!$P$9="рублей.",AN405,AU405)))</f>
        <v>0</v>
      </c>
      <c r="P405" s="141">
        <v>1.21</v>
      </c>
      <c r="Q405" s="141">
        <v>1.21</v>
      </c>
    </row>
    <row r="406" spans="1:17" s="140" customFormat="1" ht="12.75" customHeight="1">
      <c r="A406" s="150">
        <f>IF(Главная!$P$9="Дол.",AX406,IF(Главная!$P$9="гривен.",AP406,IF(Главная!$P$9="рублей.",AI406,AP406)))</f>
        <v>0</v>
      </c>
      <c r="B406" s="141">
        <v>2.23</v>
      </c>
      <c r="J406" s="141">
        <v>2.23</v>
      </c>
      <c r="K406" s="162">
        <f>IF(Главная!$P$9="Дол.",AY406,IF(Главная!$P$9="гривен.",AQ406,IF(Главная!$P$9="рублей.",AJ406,AQ406)))</f>
        <v>0</v>
      </c>
      <c r="L406" s="162">
        <f>IF(Главная!$P$9="Дол.",AZ406,IF(Главная!$P$9="гривен.",AR406,IF(Главная!$P$9="рублей.",AK406,AR406)))</f>
        <v>0</v>
      </c>
      <c r="M406" s="162">
        <f>IF(Главная!$P$9="Дол.",BA406,IF(Главная!$P$9="гривен.",AS406,IF(Главная!$P$9="рублей.",AL406,AS406)))</f>
        <v>0</v>
      </c>
      <c r="N406" s="162">
        <f>IF(Главная!$P$9="Дол.",BB406,IF(Главная!$P$9="гривен.",AT406,IF(Главная!$P$9="рублей.",AM406,AT406)))</f>
        <v>0</v>
      </c>
      <c r="O406" s="162">
        <f>IF(Главная!$P$9="Дол.",BC406,IF(Главная!$P$9="гривен.",AU406,IF(Главная!$P$9="рублей.",AN406,AU406)))</f>
        <v>0</v>
      </c>
      <c r="P406" s="141">
        <v>2.23</v>
      </c>
      <c r="Q406" s="141">
        <v>2.23</v>
      </c>
    </row>
    <row r="407" spans="1:17" s="140" customFormat="1" ht="12.75" customHeight="1">
      <c r="A407" s="150">
        <f>IF(Главная!$P$9="Дол.",AX407,IF(Главная!$P$9="гривен.",AP407,IF(Главная!$P$9="рублей.",AI407,AP407)))</f>
        <v>0</v>
      </c>
      <c r="B407" s="141">
        <v>2.59</v>
      </c>
      <c r="J407" s="141">
        <v>2.59</v>
      </c>
      <c r="K407" s="162">
        <f>IF(Главная!$P$9="Дол.",AY407,IF(Главная!$P$9="гривен.",AQ407,IF(Главная!$P$9="рублей.",AJ407,AQ407)))</f>
        <v>0</v>
      </c>
      <c r="L407" s="162">
        <f>IF(Главная!$P$9="Дол.",AZ407,IF(Главная!$P$9="гривен.",AR407,IF(Главная!$P$9="рублей.",AK407,AR407)))</f>
        <v>0</v>
      </c>
      <c r="M407" s="162">
        <f>IF(Главная!$P$9="Дол.",BA407,IF(Главная!$P$9="гривен.",AS407,IF(Главная!$P$9="рублей.",AL407,AS407)))</f>
        <v>0</v>
      </c>
      <c r="N407" s="162">
        <f>IF(Главная!$P$9="Дол.",BB407,IF(Главная!$P$9="гривен.",AT407,IF(Главная!$P$9="рублей.",AM407,AT407)))</f>
        <v>0</v>
      </c>
      <c r="O407" s="162">
        <f>IF(Главная!$P$9="Дол.",BC407,IF(Главная!$P$9="гривен.",AU407,IF(Главная!$P$9="рублей.",AN407,AU407)))</f>
        <v>0</v>
      </c>
      <c r="P407" s="141">
        <v>2.59</v>
      </c>
      <c r="Q407" s="141">
        <v>2.59</v>
      </c>
    </row>
    <row r="408" spans="1:17" s="140" customFormat="1" ht="12.75" customHeight="1">
      <c r="A408" s="150">
        <f>IF(Главная!$P$9="Дол.",AX408,IF(Главная!$P$9="гривен.",AP408,IF(Главная!$P$9="рублей.",AI408,AP408)))</f>
        <v>0</v>
      </c>
      <c r="B408" s="141">
        <v>2.12</v>
      </c>
      <c r="J408" s="141">
        <v>2.12</v>
      </c>
      <c r="K408" s="162">
        <f>IF(Главная!$P$9="Дол.",AY408,IF(Главная!$P$9="гривен.",AQ408,IF(Главная!$P$9="рублей.",AJ408,AQ408)))</f>
        <v>0</v>
      </c>
      <c r="L408" s="162">
        <f>IF(Главная!$P$9="Дол.",AZ408,IF(Главная!$P$9="гривен.",AR408,IF(Главная!$P$9="рублей.",AK408,AR408)))</f>
        <v>0</v>
      </c>
      <c r="M408" s="162">
        <f>IF(Главная!$P$9="Дол.",BA408,IF(Главная!$P$9="гривен.",AS408,IF(Главная!$P$9="рублей.",AL408,AS408)))</f>
        <v>0</v>
      </c>
      <c r="N408" s="162">
        <f>IF(Главная!$P$9="Дол.",BB408,IF(Главная!$P$9="гривен.",AT408,IF(Главная!$P$9="рублей.",AM408,AT408)))</f>
        <v>0</v>
      </c>
      <c r="O408" s="162">
        <f>IF(Главная!$P$9="Дол.",BC408,IF(Главная!$P$9="гривен.",AU408,IF(Главная!$P$9="рублей.",AN408,AU408)))</f>
        <v>0</v>
      </c>
      <c r="P408" s="141">
        <v>2.12</v>
      </c>
      <c r="Q408" s="141">
        <v>2.12</v>
      </c>
    </row>
    <row r="409" spans="1:17" s="140" customFormat="1" ht="12.75" customHeight="1">
      <c r="A409" s="150">
        <f>IF(Главная!$P$9="Дол.",AX409,IF(Главная!$P$9="гривен.",AP409,IF(Главная!$P$9="рублей.",AI409,AP409)))</f>
        <v>0</v>
      </c>
      <c r="B409" s="141">
        <v>1.74</v>
      </c>
      <c r="J409" s="141">
        <v>1.74</v>
      </c>
      <c r="K409" s="162">
        <f>IF(Главная!$P$9="Дол.",AY409,IF(Главная!$P$9="гривен.",AQ409,IF(Главная!$P$9="рублей.",AJ409,AQ409)))</f>
        <v>0</v>
      </c>
      <c r="L409" s="162">
        <f>IF(Главная!$P$9="Дол.",AZ409,IF(Главная!$P$9="гривен.",AR409,IF(Главная!$P$9="рублей.",AK409,AR409)))</f>
        <v>0</v>
      </c>
      <c r="M409" s="162">
        <f>IF(Главная!$P$9="Дол.",BA409,IF(Главная!$P$9="гривен.",AS409,IF(Главная!$P$9="рублей.",AL409,AS409)))</f>
        <v>0</v>
      </c>
      <c r="N409" s="162">
        <f>IF(Главная!$P$9="Дол.",BB409,IF(Главная!$P$9="гривен.",AT409,IF(Главная!$P$9="рублей.",AM409,AT409)))</f>
        <v>0</v>
      </c>
      <c r="O409" s="162">
        <f>IF(Главная!$P$9="Дол.",BC409,IF(Главная!$P$9="гривен.",AU409,IF(Главная!$P$9="рублей.",AN409,AU409)))</f>
        <v>0</v>
      </c>
      <c r="P409" s="141">
        <v>1.74</v>
      </c>
      <c r="Q409" s="141">
        <v>1.74</v>
      </c>
    </row>
    <row r="410" spans="1:17" s="140" customFormat="1" ht="12.75" customHeight="1">
      <c r="A410" s="150">
        <f>IF(Главная!$P$9="Дол.",AX410,IF(Главная!$P$9="гривен.",AP410,IF(Главная!$P$9="рублей.",AI410,AP410)))</f>
        <v>0</v>
      </c>
      <c r="B410" s="141">
        <v>2.23</v>
      </c>
      <c r="J410" s="141">
        <v>2.23</v>
      </c>
      <c r="K410" s="162">
        <f>IF(Главная!$P$9="Дол.",AY410,IF(Главная!$P$9="гривен.",AQ410,IF(Главная!$P$9="рублей.",AJ410,AQ410)))</f>
        <v>0</v>
      </c>
      <c r="L410" s="162">
        <f>IF(Главная!$P$9="Дол.",AZ410,IF(Главная!$P$9="гривен.",AR410,IF(Главная!$P$9="рублей.",AK410,AR410)))</f>
        <v>0</v>
      </c>
      <c r="M410" s="162">
        <f>IF(Главная!$P$9="Дол.",BA410,IF(Главная!$P$9="гривен.",AS410,IF(Главная!$P$9="рублей.",AL410,AS410)))</f>
        <v>0</v>
      </c>
      <c r="N410" s="162">
        <f>IF(Главная!$P$9="Дол.",BB410,IF(Главная!$P$9="гривен.",AT410,IF(Главная!$P$9="рублей.",AM410,AT410)))</f>
        <v>0</v>
      </c>
      <c r="O410" s="162">
        <f>IF(Главная!$P$9="Дол.",BC410,IF(Главная!$P$9="гривен.",AU410,IF(Главная!$P$9="рублей.",AN410,AU410)))</f>
        <v>0</v>
      </c>
      <c r="P410" s="141">
        <v>2.23</v>
      </c>
      <c r="Q410" s="141">
        <v>2.23</v>
      </c>
    </row>
    <row r="411" spans="1:17" s="140" customFormat="1" ht="12.75" customHeight="1">
      <c r="A411" s="150">
        <f>IF(Главная!$P$9="Дол.",AX411,IF(Главная!$P$9="гривен.",AP411,IF(Главная!$P$9="рублей.",AI411,AP411)))</f>
        <v>0</v>
      </c>
      <c r="B411" s="141">
        <v>2.12</v>
      </c>
      <c r="J411" s="141">
        <v>2.12</v>
      </c>
      <c r="K411" s="162">
        <f>IF(Главная!$P$9="Дол.",AY411,IF(Главная!$P$9="гривен.",AQ411,IF(Главная!$P$9="рублей.",AJ411,AQ411)))</f>
        <v>0</v>
      </c>
      <c r="L411" s="162">
        <f>IF(Главная!$P$9="Дол.",AZ411,IF(Главная!$P$9="гривен.",AR411,IF(Главная!$P$9="рублей.",AK411,AR411)))</f>
        <v>0</v>
      </c>
      <c r="M411" s="162">
        <f>IF(Главная!$P$9="Дол.",BA411,IF(Главная!$P$9="гривен.",AS411,IF(Главная!$P$9="рублей.",AL411,AS411)))</f>
        <v>0</v>
      </c>
      <c r="N411" s="162">
        <f>IF(Главная!$P$9="Дол.",BB411,IF(Главная!$P$9="гривен.",AT411,IF(Главная!$P$9="рублей.",AM411,AT411)))</f>
        <v>0</v>
      </c>
      <c r="O411" s="162">
        <f>IF(Главная!$P$9="Дол.",BC411,IF(Главная!$P$9="гривен.",AU411,IF(Главная!$P$9="рублей.",AN411,AU411)))</f>
        <v>0</v>
      </c>
      <c r="P411" s="141">
        <v>2.12</v>
      </c>
      <c r="Q411" s="141">
        <v>2.12</v>
      </c>
    </row>
    <row r="412" spans="1:17" s="140" customFormat="1" ht="12.75" customHeight="1">
      <c r="A412" s="150">
        <f>IF(Главная!$P$9="Дол.",AX412,IF(Главная!$P$9="гривен.",AP412,IF(Главная!$P$9="рублей.",AI412,AP412)))</f>
        <v>0</v>
      </c>
      <c r="B412" s="141">
        <v>12</v>
      </c>
      <c r="J412" s="141">
        <v>12</v>
      </c>
      <c r="K412" s="162">
        <f>IF(Главная!$P$9="Дол.",AY412,IF(Главная!$P$9="гривен.",AQ412,IF(Главная!$P$9="рублей.",AJ412,AQ412)))</f>
        <v>0</v>
      </c>
      <c r="L412" s="162">
        <f>IF(Главная!$P$9="Дол.",AZ412,IF(Главная!$P$9="гривен.",AR412,IF(Главная!$P$9="рублей.",AK412,AR412)))</f>
        <v>0</v>
      </c>
      <c r="M412" s="162">
        <f>IF(Главная!$P$9="Дол.",BA412,IF(Главная!$P$9="гривен.",AS412,IF(Главная!$P$9="рублей.",AL412,AS412)))</f>
        <v>0</v>
      </c>
      <c r="N412" s="162">
        <f>IF(Главная!$P$9="Дол.",BB412,IF(Главная!$P$9="гривен.",AT412,IF(Главная!$P$9="рублей.",AM412,AT412)))</f>
        <v>0</v>
      </c>
      <c r="O412" s="162">
        <f>IF(Главная!$P$9="Дол.",BC412,IF(Главная!$P$9="гривен.",AU412,IF(Главная!$P$9="рублей.",AN412,AU412)))</f>
        <v>0</v>
      </c>
      <c r="P412" s="141">
        <v>12</v>
      </c>
      <c r="Q412" s="141">
        <v>12</v>
      </c>
    </row>
    <row r="413" spans="1:17" s="140" customFormat="1" ht="12.75" customHeight="1">
      <c r="A413" s="150">
        <f>IF(Главная!$P$9="Дол.",AX413,IF(Главная!$P$9="гривен.",AP413,IF(Главная!$P$9="рублей.",AI413,AP413)))</f>
        <v>0</v>
      </c>
      <c r="B413" s="141">
        <v>1.86</v>
      </c>
      <c r="J413" s="141">
        <v>1.86</v>
      </c>
      <c r="K413" s="162">
        <f>IF(Главная!$P$9="Дол.",AY413,IF(Главная!$P$9="гривен.",AQ413,IF(Главная!$P$9="рублей.",AJ413,AQ413)))</f>
        <v>0</v>
      </c>
      <c r="L413" s="162">
        <f>IF(Главная!$P$9="Дол.",AZ413,IF(Главная!$P$9="гривен.",AR413,IF(Главная!$P$9="рублей.",AK413,AR413)))</f>
        <v>0</v>
      </c>
      <c r="M413" s="162">
        <f>IF(Главная!$P$9="Дол.",BA413,IF(Главная!$P$9="гривен.",AS413,IF(Главная!$P$9="рублей.",AL413,AS413)))</f>
        <v>0</v>
      </c>
      <c r="N413" s="162">
        <f>IF(Главная!$P$9="Дол.",BB413,IF(Главная!$P$9="гривен.",AT413,IF(Главная!$P$9="рублей.",AM413,AT413)))</f>
        <v>0</v>
      </c>
      <c r="O413" s="162">
        <f>IF(Главная!$P$9="Дол.",BC413,IF(Главная!$P$9="гривен.",AU413,IF(Главная!$P$9="рублей.",AN413,AU413)))</f>
        <v>0</v>
      </c>
      <c r="P413" s="141">
        <v>1.86</v>
      </c>
      <c r="Q413" s="141">
        <v>1.86</v>
      </c>
    </row>
    <row r="414" spans="1:17" s="140" customFormat="1" ht="12.75" customHeight="1">
      <c r="A414" s="150">
        <f>IF(Главная!$P$9="Дол.",AX414,IF(Главная!$P$9="гривен.",AP414,IF(Главная!$P$9="рублей.",AI414,AP414)))</f>
        <v>0</v>
      </c>
      <c r="B414" s="141">
        <v>2.12</v>
      </c>
      <c r="J414" s="141">
        <v>2.12</v>
      </c>
      <c r="K414" s="162">
        <f>IF(Главная!$P$9="Дол.",AY414,IF(Главная!$P$9="гривен.",AQ414,IF(Главная!$P$9="рублей.",AJ414,AQ414)))</f>
        <v>0</v>
      </c>
      <c r="L414" s="162">
        <f>IF(Главная!$P$9="Дол.",AZ414,IF(Главная!$P$9="гривен.",AR414,IF(Главная!$P$9="рублей.",AK414,AR414)))</f>
        <v>0</v>
      </c>
      <c r="M414" s="162">
        <f>IF(Главная!$P$9="Дол.",BA414,IF(Главная!$P$9="гривен.",AS414,IF(Главная!$P$9="рублей.",AL414,AS414)))</f>
        <v>0</v>
      </c>
      <c r="N414" s="162">
        <f>IF(Главная!$P$9="Дол.",BB414,IF(Главная!$P$9="гривен.",AT414,IF(Главная!$P$9="рублей.",AM414,AT414)))</f>
        <v>0</v>
      </c>
      <c r="O414" s="162">
        <f>IF(Главная!$P$9="Дол.",BC414,IF(Главная!$P$9="гривен.",AU414,IF(Главная!$P$9="рублей.",AN414,AU414)))</f>
        <v>0</v>
      </c>
      <c r="P414" s="141">
        <v>2.12</v>
      </c>
      <c r="Q414" s="141">
        <v>2.12</v>
      </c>
    </row>
    <row r="415" spans="1:17" s="140" customFormat="1" ht="12.75" customHeight="1">
      <c r="A415" s="150">
        <f>IF(Главная!$P$9="Дол.",AX415,IF(Главная!$P$9="гривен.",AP415,IF(Главная!$P$9="рублей.",AI415,AP415)))</f>
        <v>0</v>
      </c>
      <c r="B415" s="141">
        <v>2.59</v>
      </c>
      <c r="J415" s="141">
        <v>2.59</v>
      </c>
      <c r="K415" s="162">
        <f>IF(Главная!$P$9="Дол.",AY415,IF(Главная!$P$9="гривен.",AQ415,IF(Главная!$P$9="рублей.",AJ415,AQ415)))</f>
        <v>0</v>
      </c>
      <c r="L415" s="162">
        <f>IF(Главная!$P$9="Дол.",AZ415,IF(Главная!$P$9="гривен.",AR415,IF(Главная!$P$9="рублей.",AK415,AR415)))</f>
        <v>0</v>
      </c>
      <c r="M415" s="162">
        <f>IF(Главная!$P$9="Дол.",BA415,IF(Главная!$P$9="гривен.",AS415,IF(Главная!$P$9="рублей.",AL415,AS415)))</f>
        <v>0</v>
      </c>
      <c r="N415" s="162">
        <f>IF(Главная!$P$9="Дол.",BB415,IF(Главная!$P$9="гривен.",AT415,IF(Главная!$P$9="рублей.",AM415,AT415)))</f>
        <v>0</v>
      </c>
      <c r="O415" s="162">
        <f>IF(Главная!$P$9="Дол.",BC415,IF(Главная!$P$9="гривен.",AU415,IF(Главная!$P$9="рублей.",AN415,AU415)))</f>
        <v>0</v>
      </c>
      <c r="P415" s="141">
        <v>2.59</v>
      </c>
      <c r="Q415" s="141">
        <v>2.59</v>
      </c>
    </row>
    <row r="416" spans="1:17" s="140" customFormat="1" ht="12.75" customHeight="1">
      <c r="A416" s="150">
        <f>IF(Главная!$P$9="Дол.",AX416,IF(Главная!$P$9="гривен.",AP416,IF(Главная!$P$9="рублей.",AI416,AP416)))</f>
        <v>0</v>
      </c>
      <c r="B416" s="141">
        <v>2.12</v>
      </c>
      <c r="J416" s="141">
        <v>2.12</v>
      </c>
      <c r="K416" s="162">
        <f>IF(Главная!$P$9="Дол.",AY416,IF(Главная!$P$9="гривен.",AQ416,IF(Главная!$P$9="рублей.",AJ416,AQ416)))</f>
        <v>0</v>
      </c>
      <c r="L416" s="162">
        <f>IF(Главная!$P$9="Дол.",AZ416,IF(Главная!$P$9="гривен.",AR416,IF(Главная!$P$9="рублей.",AK416,AR416)))</f>
        <v>0</v>
      </c>
      <c r="M416" s="162">
        <f>IF(Главная!$P$9="Дол.",BA416,IF(Главная!$P$9="гривен.",AS416,IF(Главная!$P$9="рублей.",AL416,AS416)))</f>
        <v>0</v>
      </c>
      <c r="N416" s="162">
        <f>IF(Главная!$P$9="Дол.",BB416,IF(Главная!$P$9="гривен.",AT416,IF(Главная!$P$9="рублей.",AM416,AT416)))</f>
        <v>0</v>
      </c>
      <c r="O416" s="162">
        <f>IF(Главная!$P$9="Дол.",BC416,IF(Главная!$P$9="гривен.",AU416,IF(Главная!$P$9="рублей.",AN416,AU416)))</f>
        <v>0</v>
      </c>
      <c r="P416" s="141">
        <v>2.12</v>
      </c>
      <c r="Q416" s="141">
        <v>2.12</v>
      </c>
    </row>
    <row r="417" spans="1:17" s="140" customFormat="1" ht="12.75" customHeight="1">
      <c r="A417" s="150">
        <f>IF(Главная!$P$9="Дол.",AX417,IF(Главная!$P$9="гривен.",AP417,IF(Главная!$P$9="рублей.",AI417,AP417)))</f>
        <v>0</v>
      </c>
      <c r="B417" s="141">
        <v>12</v>
      </c>
      <c r="J417" s="141">
        <v>12</v>
      </c>
      <c r="K417" s="162">
        <f>IF(Главная!$P$9="Дол.",AY417,IF(Главная!$P$9="гривен.",AQ417,IF(Главная!$P$9="рублей.",AJ417,AQ417)))</f>
        <v>0</v>
      </c>
      <c r="L417" s="162">
        <f>IF(Главная!$P$9="Дол.",AZ417,IF(Главная!$P$9="гривен.",AR417,IF(Главная!$P$9="рублей.",AK417,AR417)))</f>
        <v>0</v>
      </c>
      <c r="M417" s="162">
        <f>IF(Главная!$P$9="Дол.",BA417,IF(Главная!$P$9="гривен.",AS417,IF(Главная!$P$9="рублей.",AL417,AS417)))</f>
        <v>0</v>
      </c>
      <c r="N417" s="162">
        <f>IF(Главная!$P$9="Дол.",BB417,IF(Главная!$P$9="гривен.",AT417,IF(Главная!$P$9="рублей.",AM417,AT417)))</f>
        <v>0</v>
      </c>
      <c r="O417" s="162">
        <f>IF(Главная!$P$9="Дол.",BC417,IF(Главная!$P$9="гривен.",AU417,IF(Главная!$P$9="рублей.",AN417,AU417)))</f>
        <v>0</v>
      </c>
      <c r="P417" s="141">
        <v>12</v>
      </c>
      <c r="Q417" s="141">
        <v>12</v>
      </c>
    </row>
    <row r="418" spans="1:17" s="140" customFormat="1" ht="12.75" customHeight="1">
      <c r="A418" s="150">
        <f>IF(Главная!$P$9="Дол.",AX418,IF(Главная!$P$9="гривен.",AP418,IF(Главная!$P$9="рублей.",AI418,AP418)))</f>
        <v>0</v>
      </c>
      <c r="B418" s="141">
        <v>1.21</v>
      </c>
      <c r="J418" s="141">
        <v>1.21</v>
      </c>
      <c r="K418" s="162">
        <f>IF(Главная!$P$9="Дол.",AY418,IF(Главная!$P$9="гривен.",AQ418,IF(Главная!$P$9="рублей.",AJ418,AQ418)))</f>
        <v>0</v>
      </c>
      <c r="L418" s="162">
        <f>IF(Главная!$P$9="Дол.",AZ418,IF(Главная!$P$9="гривен.",AR418,IF(Главная!$P$9="рублей.",AK418,AR418)))</f>
        <v>0</v>
      </c>
      <c r="M418" s="162">
        <f>IF(Главная!$P$9="Дол.",BA418,IF(Главная!$P$9="гривен.",AS418,IF(Главная!$P$9="рублей.",AL418,AS418)))</f>
        <v>0</v>
      </c>
      <c r="N418" s="162">
        <f>IF(Главная!$P$9="Дол.",BB418,IF(Главная!$P$9="гривен.",AT418,IF(Главная!$P$9="рублей.",AM418,AT418)))</f>
        <v>0</v>
      </c>
      <c r="O418" s="162">
        <f>IF(Главная!$P$9="Дол.",BC418,IF(Главная!$P$9="гривен.",AU418,IF(Главная!$P$9="рублей.",AN418,AU418)))</f>
        <v>0</v>
      </c>
      <c r="P418" s="141">
        <v>1.21</v>
      </c>
      <c r="Q418" s="141">
        <v>1.21</v>
      </c>
    </row>
    <row r="419" spans="1:17" s="140" customFormat="1" ht="12.75" customHeight="1">
      <c r="A419" s="150">
        <f>IF(Главная!$P$9="Дол.",AX419,IF(Главная!$P$9="гривен.",AP419,IF(Главная!$P$9="рублей.",AI419,AP419)))</f>
        <v>0</v>
      </c>
      <c r="B419" s="141">
        <v>2.23</v>
      </c>
      <c r="J419" s="141">
        <v>2.23</v>
      </c>
      <c r="K419" s="162">
        <f>IF(Главная!$P$9="Дол.",AY419,IF(Главная!$P$9="гривен.",AQ419,IF(Главная!$P$9="рублей.",AJ419,AQ419)))</f>
        <v>0</v>
      </c>
      <c r="L419" s="162">
        <f>IF(Главная!$P$9="Дол.",AZ419,IF(Главная!$P$9="гривен.",AR419,IF(Главная!$P$9="рублей.",AK419,AR419)))</f>
        <v>0</v>
      </c>
      <c r="M419" s="162">
        <f>IF(Главная!$P$9="Дол.",BA419,IF(Главная!$P$9="гривен.",AS419,IF(Главная!$P$9="рублей.",AL419,AS419)))</f>
        <v>0</v>
      </c>
      <c r="N419" s="162">
        <f>IF(Главная!$P$9="Дол.",BB419,IF(Главная!$P$9="гривен.",AT419,IF(Главная!$P$9="рублей.",AM419,AT419)))</f>
        <v>0</v>
      </c>
      <c r="O419" s="162">
        <f>IF(Главная!$P$9="Дол.",BC419,IF(Главная!$P$9="гривен.",AU419,IF(Главная!$P$9="рублей.",AN419,AU419)))</f>
        <v>0</v>
      </c>
      <c r="P419" s="141">
        <v>2.23</v>
      </c>
      <c r="Q419" s="141">
        <v>2.23</v>
      </c>
    </row>
    <row r="420" spans="1:17" s="140" customFormat="1" ht="12.75" customHeight="1">
      <c r="A420" s="150">
        <f>IF(Главная!$P$9="Дол.",AX420,IF(Главная!$P$9="гривен.",AP420,IF(Главная!$P$9="рублей.",AI420,AP420)))</f>
        <v>0</v>
      </c>
      <c r="B420" s="141">
        <v>2.12</v>
      </c>
      <c r="J420" s="141">
        <v>2.12</v>
      </c>
      <c r="K420" s="162">
        <f>IF(Главная!$P$9="Дол.",AY420,IF(Главная!$P$9="гривен.",AQ420,IF(Главная!$P$9="рублей.",AJ420,AQ420)))</f>
        <v>0</v>
      </c>
      <c r="L420" s="162">
        <f>IF(Главная!$P$9="Дол.",AZ420,IF(Главная!$P$9="гривен.",AR420,IF(Главная!$P$9="рублей.",AK420,AR420)))</f>
        <v>0</v>
      </c>
      <c r="M420" s="162">
        <f>IF(Главная!$P$9="Дол.",BA420,IF(Главная!$P$9="гривен.",AS420,IF(Главная!$P$9="рублей.",AL420,AS420)))</f>
        <v>0</v>
      </c>
      <c r="N420" s="162">
        <f>IF(Главная!$P$9="Дол.",BB420,IF(Главная!$P$9="гривен.",AT420,IF(Главная!$P$9="рублей.",AM420,AT420)))</f>
        <v>0</v>
      </c>
      <c r="O420" s="162">
        <f>IF(Главная!$P$9="Дол.",BC420,IF(Главная!$P$9="гривен.",AU420,IF(Главная!$P$9="рублей.",AN420,AU420)))</f>
        <v>0</v>
      </c>
      <c r="P420" s="141">
        <v>2.12</v>
      </c>
      <c r="Q420" s="141">
        <v>2.12</v>
      </c>
    </row>
    <row r="421" spans="1:17" s="140" customFormat="1" ht="12.75" customHeight="1">
      <c r="A421" s="150">
        <f>IF(Главная!$P$9="Дол.",AX421,IF(Главная!$P$9="гривен.",AP421,IF(Главная!$P$9="рублей.",AI421,AP421)))</f>
        <v>0</v>
      </c>
      <c r="B421" s="141">
        <v>1.74</v>
      </c>
      <c r="J421" s="141">
        <v>1.74</v>
      </c>
      <c r="K421" s="162">
        <f>IF(Главная!$P$9="Дол.",AY421,IF(Главная!$P$9="гривен.",AQ421,IF(Главная!$P$9="рублей.",AJ421,AQ421)))</f>
        <v>0</v>
      </c>
      <c r="L421" s="162">
        <f>IF(Главная!$P$9="Дол.",AZ421,IF(Главная!$P$9="гривен.",AR421,IF(Главная!$P$9="рублей.",AK421,AR421)))</f>
        <v>0</v>
      </c>
      <c r="M421" s="162">
        <f>IF(Главная!$P$9="Дол.",BA421,IF(Главная!$P$9="гривен.",AS421,IF(Главная!$P$9="рублей.",AL421,AS421)))</f>
        <v>0</v>
      </c>
      <c r="N421" s="162">
        <f>IF(Главная!$P$9="Дол.",BB421,IF(Главная!$P$9="гривен.",AT421,IF(Главная!$P$9="рублей.",AM421,AT421)))</f>
        <v>0</v>
      </c>
      <c r="O421" s="162">
        <f>IF(Главная!$P$9="Дол.",BC421,IF(Главная!$P$9="гривен.",AU421,IF(Главная!$P$9="рублей.",AN421,AU421)))</f>
        <v>0</v>
      </c>
      <c r="P421" s="141">
        <v>1.74</v>
      </c>
      <c r="Q421" s="141">
        <v>1.74</v>
      </c>
    </row>
    <row r="422" spans="1:17" s="140" customFormat="1" ht="12.75" customHeight="1">
      <c r="A422" s="150">
        <f>IF(Главная!$P$9="Дол.",AX422,IF(Главная!$P$9="гривен.",AP422,IF(Главная!$P$9="рублей.",AI422,AP422)))</f>
        <v>0</v>
      </c>
      <c r="B422" s="141">
        <v>1.74</v>
      </c>
      <c r="J422" s="141">
        <v>1.74</v>
      </c>
      <c r="K422" s="162">
        <f>IF(Главная!$P$9="Дол.",AY422,IF(Главная!$P$9="гривен.",AQ422,IF(Главная!$P$9="рублей.",AJ422,AQ422)))</f>
        <v>0</v>
      </c>
      <c r="L422" s="162">
        <f>IF(Главная!$P$9="Дол.",AZ422,IF(Главная!$P$9="гривен.",AR422,IF(Главная!$P$9="рублей.",AK422,AR422)))</f>
        <v>0</v>
      </c>
      <c r="M422" s="162">
        <f>IF(Главная!$P$9="Дол.",BA422,IF(Главная!$P$9="гривен.",AS422,IF(Главная!$P$9="рублей.",AL422,AS422)))</f>
        <v>0</v>
      </c>
      <c r="N422" s="162">
        <f>IF(Главная!$P$9="Дол.",BB422,IF(Главная!$P$9="гривен.",AT422,IF(Главная!$P$9="рублей.",AM422,AT422)))</f>
        <v>0</v>
      </c>
      <c r="O422" s="162">
        <f>IF(Главная!$P$9="Дол.",BC422,IF(Главная!$P$9="гривен.",AU422,IF(Главная!$P$9="рублей.",AN422,AU422)))</f>
        <v>0</v>
      </c>
      <c r="P422" s="141">
        <v>1.74</v>
      </c>
      <c r="Q422" s="141">
        <v>1.74</v>
      </c>
    </row>
    <row r="423" spans="1:17" s="140" customFormat="1" ht="12.75" customHeight="1">
      <c r="A423" s="150">
        <f>IF(Главная!$P$9="Дол.",AX423,IF(Главная!$P$9="гривен.",AP423,IF(Главная!$P$9="рублей.",AI423,AP423)))</f>
        <v>0</v>
      </c>
      <c r="B423" s="141">
        <v>2.23</v>
      </c>
      <c r="J423" s="141">
        <v>2.23</v>
      </c>
      <c r="K423" s="162">
        <f>IF(Главная!$P$9="Дол.",AY423,IF(Главная!$P$9="гривен.",AQ423,IF(Главная!$P$9="рублей.",AJ423,AQ423)))</f>
        <v>0</v>
      </c>
      <c r="L423" s="162">
        <f>IF(Главная!$P$9="Дол.",AZ423,IF(Главная!$P$9="гривен.",AR423,IF(Главная!$P$9="рублей.",AK423,AR423)))</f>
        <v>0</v>
      </c>
      <c r="M423" s="162">
        <f>IF(Главная!$P$9="Дол.",BA423,IF(Главная!$P$9="гривен.",AS423,IF(Главная!$P$9="рублей.",AL423,AS423)))</f>
        <v>0</v>
      </c>
      <c r="N423" s="162">
        <f>IF(Главная!$P$9="Дол.",BB423,IF(Главная!$P$9="гривен.",AT423,IF(Главная!$P$9="рублей.",AM423,AT423)))</f>
        <v>0</v>
      </c>
      <c r="O423" s="162">
        <f>IF(Главная!$P$9="Дол.",BC423,IF(Главная!$P$9="гривен.",AU423,IF(Главная!$P$9="рублей.",AN423,AU423)))</f>
        <v>0</v>
      </c>
      <c r="P423" s="141">
        <v>2.23</v>
      </c>
      <c r="Q423" s="141">
        <v>2.23</v>
      </c>
    </row>
    <row r="424" spans="1:17" s="140" customFormat="1" ht="12.75" customHeight="1">
      <c r="A424" s="150">
        <f>IF(Главная!$P$9="Дол.",AX424,IF(Главная!$P$9="гривен.",AP424,IF(Главная!$P$9="рублей.",AI424,AP424)))</f>
        <v>0</v>
      </c>
      <c r="B424" s="141">
        <v>2.23</v>
      </c>
      <c r="J424" s="141">
        <v>2.23</v>
      </c>
      <c r="K424" s="162">
        <f>IF(Главная!$P$9="Дол.",AY424,IF(Главная!$P$9="гривен.",AQ424,IF(Главная!$P$9="рублей.",AJ424,AQ424)))</f>
        <v>0</v>
      </c>
      <c r="L424" s="162">
        <f>IF(Главная!$P$9="Дол.",AZ424,IF(Главная!$P$9="гривен.",AR424,IF(Главная!$P$9="рублей.",AK424,AR424)))</f>
        <v>0</v>
      </c>
      <c r="M424" s="162">
        <f>IF(Главная!$P$9="Дол.",BA424,IF(Главная!$P$9="гривен.",AS424,IF(Главная!$P$9="рублей.",AL424,AS424)))</f>
        <v>0</v>
      </c>
      <c r="N424" s="162">
        <f>IF(Главная!$P$9="Дол.",BB424,IF(Главная!$P$9="гривен.",AT424,IF(Главная!$P$9="рублей.",AM424,AT424)))</f>
        <v>0</v>
      </c>
      <c r="O424" s="162">
        <f>IF(Главная!$P$9="Дол.",BC424,IF(Главная!$P$9="гривен.",AU424,IF(Главная!$P$9="рублей.",AN424,AU424)))</f>
        <v>0</v>
      </c>
      <c r="P424" s="141">
        <v>2.23</v>
      </c>
      <c r="Q424" s="141">
        <v>2.23</v>
      </c>
    </row>
    <row r="425" spans="1:17" s="140" customFormat="1" ht="12.75" customHeight="1">
      <c r="A425" s="150">
        <f>IF(Главная!$P$9="Дол.",AX425,IF(Главная!$P$9="гривен.",AP425,IF(Главная!$P$9="рублей.",AI425,AP425)))</f>
        <v>0</v>
      </c>
      <c r="B425" s="141">
        <v>2.59</v>
      </c>
      <c r="J425" s="141">
        <v>2.59</v>
      </c>
      <c r="K425" s="162">
        <f>IF(Главная!$P$9="Дол.",AY425,IF(Главная!$P$9="гривен.",AQ425,IF(Главная!$P$9="рублей.",AJ425,AQ425)))</f>
        <v>0</v>
      </c>
      <c r="L425" s="162">
        <f>IF(Главная!$P$9="Дол.",AZ425,IF(Главная!$P$9="гривен.",AR425,IF(Главная!$P$9="рублей.",AK425,AR425)))</f>
        <v>0</v>
      </c>
      <c r="M425" s="162">
        <f>IF(Главная!$P$9="Дол.",BA425,IF(Главная!$P$9="гривен.",AS425,IF(Главная!$P$9="рублей.",AL425,AS425)))</f>
        <v>0</v>
      </c>
      <c r="N425" s="162">
        <f>IF(Главная!$P$9="Дол.",BB425,IF(Главная!$P$9="гривен.",AT425,IF(Главная!$P$9="рублей.",AM425,AT425)))</f>
        <v>0</v>
      </c>
      <c r="O425" s="162">
        <f>IF(Главная!$P$9="Дол.",BC425,IF(Главная!$P$9="гривен.",AU425,IF(Главная!$P$9="рублей.",AN425,AU425)))</f>
        <v>0</v>
      </c>
      <c r="P425" s="141">
        <v>2.59</v>
      </c>
      <c r="Q425" s="141">
        <v>2.59</v>
      </c>
    </row>
    <row r="426" spans="1:17" s="140" customFormat="1" ht="12.75" customHeight="1">
      <c r="A426" s="150">
        <f>IF(Главная!$P$9="Дол.",AX426,IF(Главная!$P$9="гривен.",AP426,IF(Главная!$P$9="рублей.",AI426,AP426)))</f>
        <v>0</v>
      </c>
      <c r="B426" s="141">
        <v>1.47</v>
      </c>
      <c r="J426" s="141">
        <v>1.47</v>
      </c>
      <c r="K426" s="162">
        <f>IF(Главная!$P$9="Дол.",AY426,IF(Главная!$P$9="гривен.",AQ426,IF(Главная!$P$9="рублей.",AJ426,AQ426)))</f>
        <v>0</v>
      </c>
      <c r="L426" s="162">
        <f>IF(Главная!$P$9="Дол.",AZ426,IF(Главная!$P$9="гривен.",AR426,IF(Главная!$P$9="рублей.",AK426,AR426)))</f>
        <v>0</v>
      </c>
      <c r="M426" s="162">
        <f>IF(Главная!$P$9="Дол.",BA426,IF(Главная!$P$9="гривен.",AS426,IF(Главная!$P$9="рублей.",AL426,AS426)))</f>
        <v>0</v>
      </c>
      <c r="N426" s="162">
        <f>IF(Главная!$P$9="Дол.",BB426,IF(Главная!$P$9="гривен.",AT426,IF(Главная!$P$9="рублей.",AM426,AT426)))</f>
        <v>0</v>
      </c>
      <c r="O426" s="162">
        <f>IF(Главная!$P$9="Дол.",BC426,IF(Главная!$P$9="гривен.",AU426,IF(Главная!$P$9="рублей.",AN426,AU426)))</f>
        <v>0</v>
      </c>
      <c r="P426" s="141">
        <v>1.47</v>
      </c>
      <c r="Q426" s="141">
        <v>1.47</v>
      </c>
    </row>
    <row r="427" spans="1:17" s="140" customFormat="1" ht="12.75" customHeight="1">
      <c r="A427" s="150">
        <f>IF(Главная!$P$9="Дол.",AX427,IF(Главная!$P$9="гривен.",AP427,IF(Главная!$P$9="рублей.",AI427,AP427)))</f>
        <v>0</v>
      </c>
      <c r="B427" s="141">
        <v>2.59</v>
      </c>
      <c r="J427" s="141">
        <v>2.59</v>
      </c>
      <c r="K427" s="162">
        <f>IF(Главная!$P$9="Дол.",AY427,IF(Главная!$P$9="гривен.",AQ427,IF(Главная!$P$9="рублей.",AJ427,AQ427)))</f>
        <v>0</v>
      </c>
      <c r="L427" s="162">
        <f>IF(Главная!$P$9="Дол.",AZ427,IF(Главная!$P$9="гривен.",AR427,IF(Главная!$P$9="рублей.",AK427,AR427)))</f>
        <v>0</v>
      </c>
      <c r="M427" s="162">
        <f>IF(Главная!$P$9="Дол.",BA427,IF(Главная!$P$9="гривен.",AS427,IF(Главная!$P$9="рублей.",AL427,AS427)))</f>
        <v>0</v>
      </c>
      <c r="N427" s="162">
        <f>IF(Главная!$P$9="Дол.",BB427,IF(Главная!$P$9="гривен.",AT427,IF(Главная!$P$9="рублей.",AM427,AT427)))</f>
        <v>0</v>
      </c>
      <c r="O427" s="162">
        <f>IF(Главная!$P$9="Дол.",BC427,IF(Главная!$P$9="гривен.",AU427,IF(Главная!$P$9="рублей.",AN427,AU427)))</f>
        <v>0</v>
      </c>
      <c r="P427" s="141">
        <v>2.59</v>
      </c>
      <c r="Q427" s="141">
        <v>2.59</v>
      </c>
    </row>
    <row r="428" spans="1:17" s="140" customFormat="1" ht="12.75" customHeight="1">
      <c r="A428" s="150">
        <f>IF(Главная!$P$9="Дол.",AX428,IF(Главная!$P$9="гривен.",AP428,IF(Главная!$P$9="рублей.",AI428,AP428)))</f>
        <v>0</v>
      </c>
      <c r="B428" s="141">
        <v>1.86</v>
      </c>
      <c r="J428" s="141">
        <v>1.86</v>
      </c>
      <c r="K428" s="162">
        <f>IF(Главная!$P$9="Дол.",AY428,IF(Главная!$P$9="гривен.",AQ428,IF(Главная!$P$9="рублей.",AJ428,AQ428)))</f>
        <v>0</v>
      </c>
      <c r="L428" s="162">
        <f>IF(Главная!$P$9="Дол.",AZ428,IF(Главная!$P$9="гривен.",AR428,IF(Главная!$P$9="рублей.",AK428,AR428)))</f>
        <v>0</v>
      </c>
      <c r="M428" s="162">
        <f>IF(Главная!$P$9="Дол.",BA428,IF(Главная!$P$9="гривен.",AS428,IF(Главная!$P$9="рублей.",AL428,AS428)))</f>
        <v>0</v>
      </c>
      <c r="N428" s="162">
        <f>IF(Главная!$P$9="Дол.",BB428,IF(Главная!$P$9="гривен.",AT428,IF(Главная!$P$9="рублей.",AM428,AT428)))</f>
        <v>0</v>
      </c>
      <c r="O428" s="162">
        <f>IF(Главная!$P$9="Дол.",BC428,IF(Главная!$P$9="гривен.",AU428,IF(Главная!$P$9="рублей.",AN428,AU428)))</f>
        <v>0</v>
      </c>
      <c r="P428" s="141">
        <v>1.86</v>
      </c>
      <c r="Q428" s="141">
        <v>1.86</v>
      </c>
    </row>
    <row r="429" spans="1:17" s="140" customFormat="1" ht="12.75" customHeight="1">
      <c r="A429" s="150">
        <f>IF(Главная!$P$9="Дол.",AX429,IF(Главная!$P$9="гривен.",AP429,IF(Главная!$P$9="рублей.",AI429,AP429)))</f>
        <v>0</v>
      </c>
      <c r="B429" s="141">
        <v>2.23</v>
      </c>
      <c r="J429" s="141">
        <v>2.23</v>
      </c>
      <c r="K429" s="162">
        <f>IF(Главная!$P$9="Дол.",AY429,IF(Главная!$P$9="гривен.",AQ429,IF(Главная!$P$9="рублей.",AJ429,AQ429)))</f>
        <v>0</v>
      </c>
      <c r="L429" s="162">
        <f>IF(Главная!$P$9="Дол.",AZ429,IF(Главная!$P$9="гривен.",AR429,IF(Главная!$P$9="рублей.",AK429,AR429)))</f>
        <v>0</v>
      </c>
      <c r="M429" s="162">
        <f>IF(Главная!$P$9="Дол.",BA429,IF(Главная!$P$9="гривен.",AS429,IF(Главная!$P$9="рублей.",AL429,AS429)))</f>
        <v>0</v>
      </c>
      <c r="N429" s="162">
        <f>IF(Главная!$P$9="Дол.",BB429,IF(Главная!$P$9="гривен.",AT429,IF(Главная!$P$9="рублей.",AM429,AT429)))</f>
        <v>0</v>
      </c>
      <c r="O429" s="162">
        <f>IF(Главная!$P$9="Дол.",BC429,IF(Главная!$P$9="гривен.",AU429,IF(Главная!$P$9="рублей.",AN429,AU429)))</f>
        <v>0</v>
      </c>
      <c r="P429" s="141">
        <v>2.23</v>
      </c>
      <c r="Q429" s="141">
        <v>2.23</v>
      </c>
    </row>
    <row r="430" spans="1:17" s="140" customFormat="1" ht="12.75" customHeight="1">
      <c r="A430" s="150">
        <f>IF(Главная!$P$9="Дол.",AX430,IF(Главная!$P$9="гривен.",AP430,IF(Главная!$P$9="рублей.",AI430,AP430)))</f>
        <v>0</v>
      </c>
      <c r="B430" s="141">
        <v>2.59</v>
      </c>
      <c r="J430" s="141">
        <v>2.59</v>
      </c>
      <c r="K430" s="162">
        <f>IF(Главная!$P$9="Дол.",AY430,IF(Главная!$P$9="гривен.",AQ430,IF(Главная!$P$9="рублей.",AJ430,AQ430)))</f>
        <v>0</v>
      </c>
      <c r="L430" s="162">
        <f>IF(Главная!$P$9="Дол.",AZ430,IF(Главная!$P$9="гривен.",AR430,IF(Главная!$P$9="рублей.",AK430,AR430)))</f>
        <v>0</v>
      </c>
      <c r="M430" s="162">
        <f>IF(Главная!$P$9="Дол.",BA430,IF(Главная!$P$9="гривен.",AS430,IF(Главная!$P$9="рублей.",AL430,AS430)))</f>
        <v>0</v>
      </c>
      <c r="N430" s="162">
        <f>IF(Главная!$P$9="Дол.",BB430,IF(Главная!$P$9="гривен.",AT430,IF(Главная!$P$9="рублей.",AM430,AT430)))</f>
        <v>0</v>
      </c>
      <c r="O430" s="162">
        <f>IF(Главная!$P$9="Дол.",BC430,IF(Главная!$P$9="гривен.",AU430,IF(Главная!$P$9="рублей.",AN430,AU430)))</f>
        <v>0</v>
      </c>
      <c r="P430" s="141">
        <v>2.59</v>
      </c>
      <c r="Q430" s="141">
        <v>2.59</v>
      </c>
    </row>
    <row r="431" spans="1:17" s="140" customFormat="1" ht="12.75" customHeight="1">
      <c r="A431" s="150">
        <f>IF(Главная!$P$9="Дол.",AX431,IF(Главная!$P$9="гривен.",AP431,IF(Главная!$P$9="рублей.",AI431,AP431)))</f>
        <v>0</v>
      </c>
      <c r="B431" s="141">
        <v>1.21</v>
      </c>
      <c r="J431" s="141">
        <v>1.21</v>
      </c>
      <c r="K431" s="162">
        <f>IF(Главная!$P$9="Дол.",AY431,IF(Главная!$P$9="гривен.",AQ431,IF(Главная!$P$9="рублей.",AJ431,AQ431)))</f>
        <v>0</v>
      </c>
      <c r="L431" s="162">
        <f>IF(Главная!$P$9="Дол.",AZ431,IF(Главная!$P$9="гривен.",AR431,IF(Главная!$P$9="рублей.",AK431,AR431)))</f>
        <v>0</v>
      </c>
      <c r="M431" s="162">
        <f>IF(Главная!$P$9="Дол.",BA431,IF(Главная!$P$9="гривен.",AS431,IF(Главная!$P$9="рублей.",AL431,AS431)))</f>
        <v>0</v>
      </c>
      <c r="N431" s="162">
        <f>IF(Главная!$P$9="Дол.",BB431,IF(Главная!$P$9="гривен.",AT431,IF(Главная!$P$9="рублей.",AM431,AT431)))</f>
        <v>0</v>
      </c>
      <c r="O431" s="162">
        <f>IF(Главная!$P$9="Дол.",BC431,IF(Главная!$P$9="гривен.",AU431,IF(Главная!$P$9="рублей.",AN431,AU431)))</f>
        <v>0</v>
      </c>
      <c r="P431" s="141">
        <v>1.21</v>
      </c>
      <c r="Q431" s="141">
        <v>1.21</v>
      </c>
    </row>
    <row r="432" spans="1:17" s="140" customFormat="1" ht="12.75" customHeight="1">
      <c r="A432" s="150">
        <f>IF(Главная!$P$9="Дол.",AX432,IF(Главная!$P$9="гривен.",AP432,IF(Главная!$P$9="рублей.",AI432,AP432)))</f>
        <v>0</v>
      </c>
      <c r="B432" s="141">
        <v>2.12</v>
      </c>
      <c r="J432" s="141">
        <v>2.12</v>
      </c>
      <c r="K432" s="162">
        <f>IF(Главная!$P$9="Дол.",AY432,IF(Главная!$P$9="гривен.",AQ432,IF(Главная!$P$9="рублей.",AJ432,AQ432)))</f>
        <v>0</v>
      </c>
      <c r="L432" s="162">
        <f>IF(Главная!$P$9="Дол.",AZ432,IF(Главная!$P$9="гривен.",AR432,IF(Главная!$P$9="рублей.",AK432,AR432)))</f>
        <v>0</v>
      </c>
      <c r="M432" s="162">
        <f>IF(Главная!$P$9="Дол.",BA432,IF(Главная!$P$9="гривен.",AS432,IF(Главная!$P$9="рублей.",AL432,AS432)))</f>
        <v>0</v>
      </c>
      <c r="N432" s="162">
        <f>IF(Главная!$P$9="Дол.",BB432,IF(Главная!$P$9="гривен.",AT432,IF(Главная!$P$9="рублей.",AM432,AT432)))</f>
        <v>0</v>
      </c>
      <c r="O432" s="162">
        <f>IF(Главная!$P$9="Дол.",BC432,IF(Главная!$P$9="гривен.",AU432,IF(Главная!$P$9="рублей.",AN432,AU432)))</f>
        <v>0</v>
      </c>
      <c r="P432" s="141">
        <v>2.12</v>
      </c>
      <c r="Q432" s="141">
        <v>2.12</v>
      </c>
    </row>
    <row r="433" spans="1:17" s="140" customFormat="1" ht="12.75" customHeight="1">
      <c r="A433" s="150">
        <f>IF(Главная!$P$9="Дол.",AX433,IF(Главная!$P$9="гривен.",AP433,IF(Главная!$P$9="рублей.",AI433,AP433)))</f>
        <v>0</v>
      </c>
      <c r="B433" s="141">
        <v>2.59</v>
      </c>
      <c r="J433" s="141">
        <v>2.59</v>
      </c>
      <c r="K433" s="162">
        <f>IF(Главная!$P$9="Дол.",AY433,IF(Главная!$P$9="гривен.",AQ433,IF(Главная!$P$9="рублей.",AJ433,AQ433)))</f>
        <v>0</v>
      </c>
      <c r="L433" s="162">
        <f>IF(Главная!$P$9="Дол.",AZ433,IF(Главная!$P$9="гривен.",AR433,IF(Главная!$P$9="рублей.",AK433,AR433)))</f>
        <v>0</v>
      </c>
      <c r="M433" s="162">
        <f>IF(Главная!$P$9="Дол.",BA433,IF(Главная!$P$9="гривен.",AS433,IF(Главная!$P$9="рублей.",AL433,AS433)))</f>
        <v>0</v>
      </c>
      <c r="N433" s="162">
        <f>IF(Главная!$P$9="Дол.",BB433,IF(Главная!$P$9="гривен.",AT433,IF(Главная!$P$9="рублей.",AM433,AT433)))</f>
        <v>0</v>
      </c>
      <c r="O433" s="162">
        <f>IF(Главная!$P$9="Дол.",BC433,IF(Главная!$P$9="гривен.",AU433,IF(Главная!$P$9="рублей.",AN433,AU433)))</f>
        <v>0</v>
      </c>
      <c r="P433" s="141">
        <v>2.59</v>
      </c>
      <c r="Q433" s="141">
        <v>2.59</v>
      </c>
    </row>
    <row r="434" spans="1:17" s="140" customFormat="1" ht="12.75" customHeight="1">
      <c r="A434" s="150">
        <f>IF(Главная!$P$9="Дол.",AX434,IF(Главная!$P$9="гривен.",AP434,IF(Главная!$P$9="рублей.",AI434,AP434)))</f>
        <v>0</v>
      </c>
      <c r="B434" s="141">
        <v>2.59</v>
      </c>
      <c r="J434" s="141">
        <v>2.59</v>
      </c>
      <c r="K434" s="162">
        <f>IF(Главная!$P$9="Дол.",AY434,IF(Главная!$P$9="гривен.",AQ434,IF(Главная!$P$9="рублей.",AJ434,AQ434)))</f>
        <v>0</v>
      </c>
      <c r="L434" s="162">
        <f>IF(Главная!$P$9="Дол.",AZ434,IF(Главная!$P$9="гривен.",AR434,IF(Главная!$P$9="рублей.",AK434,AR434)))</f>
        <v>0</v>
      </c>
      <c r="M434" s="162">
        <f>IF(Главная!$P$9="Дол.",BA434,IF(Главная!$P$9="гривен.",AS434,IF(Главная!$P$9="рублей.",AL434,AS434)))</f>
        <v>0</v>
      </c>
      <c r="N434" s="162">
        <f>IF(Главная!$P$9="Дол.",BB434,IF(Главная!$P$9="гривен.",AT434,IF(Главная!$P$9="рублей.",AM434,AT434)))</f>
        <v>0</v>
      </c>
      <c r="O434" s="162">
        <f>IF(Главная!$P$9="Дол.",BC434,IF(Главная!$P$9="гривен.",AU434,IF(Главная!$P$9="рублей.",AN434,AU434)))</f>
        <v>0</v>
      </c>
      <c r="P434" s="141">
        <v>2.59</v>
      </c>
      <c r="Q434" s="141">
        <v>2.59</v>
      </c>
    </row>
    <row r="435" spans="1:17" s="140" customFormat="1" ht="12.75" customHeight="1">
      <c r="A435" s="150">
        <f>IF(Главная!$P$9="Дол.",AX435,IF(Главная!$P$9="гривен.",AP435,IF(Главная!$P$9="рублей.",AI435,AP435)))</f>
        <v>0</v>
      </c>
      <c r="B435" s="141">
        <v>2.23</v>
      </c>
      <c r="J435" s="141">
        <v>2.23</v>
      </c>
      <c r="K435" s="162">
        <f>IF(Главная!$P$9="Дол.",AY435,IF(Главная!$P$9="гривен.",AQ435,IF(Главная!$P$9="рублей.",AJ435,AQ435)))</f>
        <v>0</v>
      </c>
      <c r="L435" s="162">
        <f>IF(Главная!$P$9="Дол.",AZ435,IF(Главная!$P$9="гривен.",AR435,IF(Главная!$P$9="рублей.",AK435,AR435)))</f>
        <v>0</v>
      </c>
      <c r="M435" s="162">
        <f>IF(Главная!$P$9="Дол.",BA435,IF(Главная!$P$9="гривен.",AS435,IF(Главная!$P$9="рублей.",AL435,AS435)))</f>
        <v>0</v>
      </c>
      <c r="N435" s="162">
        <f>IF(Главная!$P$9="Дол.",BB435,IF(Главная!$P$9="гривен.",AT435,IF(Главная!$P$9="рублей.",AM435,AT435)))</f>
        <v>0</v>
      </c>
      <c r="O435" s="162">
        <f>IF(Главная!$P$9="Дол.",BC435,IF(Главная!$P$9="гривен.",AU435,IF(Главная!$P$9="рублей.",AN435,AU435)))</f>
        <v>0</v>
      </c>
      <c r="P435" s="141">
        <v>2.23</v>
      </c>
      <c r="Q435" s="141">
        <v>2.23</v>
      </c>
    </row>
    <row r="436" spans="1:17" s="140" customFormat="1" ht="12.75" customHeight="1">
      <c r="A436" s="150">
        <f>IF(Главная!$P$9="Дол.",AX436,IF(Главная!$P$9="гривен.",AP436,IF(Главная!$P$9="рублей.",AI436,AP436)))</f>
        <v>0</v>
      </c>
      <c r="B436" s="141">
        <v>2.59</v>
      </c>
      <c r="J436" s="141">
        <v>2.59</v>
      </c>
      <c r="K436" s="162">
        <f>IF(Главная!$P$9="Дол.",AY436,IF(Главная!$P$9="гривен.",AQ436,IF(Главная!$P$9="рублей.",AJ436,AQ436)))</f>
        <v>0</v>
      </c>
      <c r="L436" s="162">
        <f>IF(Главная!$P$9="Дол.",AZ436,IF(Главная!$P$9="гривен.",AR436,IF(Главная!$P$9="рублей.",AK436,AR436)))</f>
        <v>0</v>
      </c>
      <c r="M436" s="162">
        <f>IF(Главная!$P$9="Дол.",BA436,IF(Главная!$P$9="гривен.",AS436,IF(Главная!$P$9="рублей.",AL436,AS436)))</f>
        <v>0</v>
      </c>
      <c r="N436" s="162">
        <f>IF(Главная!$P$9="Дол.",BB436,IF(Главная!$P$9="гривен.",AT436,IF(Главная!$P$9="рублей.",AM436,AT436)))</f>
        <v>0</v>
      </c>
      <c r="O436" s="162">
        <f>IF(Главная!$P$9="Дол.",BC436,IF(Главная!$P$9="гривен.",AU436,IF(Главная!$P$9="рублей.",AN436,AU436)))</f>
        <v>0</v>
      </c>
      <c r="P436" s="141">
        <v>2.59</v>
      </c>
      <c r="Q436" s="141">
        <v>2.59</v>
      </c>
    </row>
    <row r="437" spans="1:17" s="140" customFormat="1" ht="12.75" customHeight="1">
      <c r="A437" s="150">
        <f>IF(Главная!$P$9="Дол.",AX437,IF(Главная!$P$9="гривен.",AP437,IF(Главная!$P$9="рублей.",AI437,AP437)))</f>
        <v>0</v>
      </c>
      <c r="B437" s="141">
        <v>1.74</v>
      </c>
      <c r="J437" s="141">
        <v>1.74</v>
      </c>
      <c r="K437" s="162">
        <f>IF(Главная!$P$9="Дол.",AY437,IF(Главная!$P$9="гривен.",AQ437,IF(Главная!$P$9="рублей.",AJ437,AQ437)))</f>
        <v>0</v>
      </c>
      <c r="L437" s="162">
        <f>IF(Главная!$P$9="Дол.",AZ437,IF(Главная!$P$9="гривен.",AR437,IF(Главная!$P$9="рублей.",AK437,AR437)))</f>
        <v>0</v>
      </c>
      <c r="M437" s="162">
        <f>IF(Главная!$P$9="Дол.",BA437,IF(Главная!$P$9="гривен.",AS437,IF(Главная!$P$9="рублей.",AL437,AS437)))</f>
        <v>0</v>
      </c>
      <c r="N437" s="162">
        <f>IF(Главная!$P$9="Дол.",BB437,IF(Главная!$P$9="гривен.",AT437,IF(Главная!$P$9="рублей.",AM437,AT437)))</f>
        <v>0</v>
      </c>
      <c r="O437" s="162">
        <f>IF(Главная!$P$9="Дол.",BC437,IF(Главная!$P$9="гривен.",AU437,IF(Главная!$P$9="рублей.",AN437,AU437)))</f>
        <v>0</v>
      </c>
      <c r="P437" s="141">
        <v>1.74</v>
      </c>
      <c r="Q437" s="141">
        <v>1.74</v>
      </c>
    </row>
    <row r="438" spans="1:17" s="140" customFormat="1" ht="12.75" customHeight="1">
      <c r="A438" s="150">
        <f>IF(Главная!$P$9="Дол.",AX438,IF(Главная!$P$9="гривен.",AP438,IF(Главная!$P$9="рублей.",AI438,AP438)))</f>
        <v>0</v>
      </c>
      <c r="B438" s="141">
        <v>2.12</v>
      </c>
      <c r="J438" s="141">
        <v>2.12</v>
      </c>
      <c r="K438" s="162">
        <f>IF(Главная!$P$9="Дол.",AY438,IF(Главная!$P$9="гривен.",AQ438,IF(Главная!$P$9="рублей.",AJ438,AQ438)))</f>
        <v>0</v>
      </c>
      <c r="L438" s="162">
        <f>IF(Главная!$P$9="Дол.",AZ438,IF(Главная!$P$9="гривен.",AR438,IF(Главная!$P$9="рублей.",AK438,AR438)))</f>
        <v>0</v>
      </c>
      <c r="M438" s="162">
        <f>IF(Главная!$P$9="Дол.",BA438,IF(Главная!$P$9="гривен.",AS438,IF(Главная!$P$9="рублей.",AL438,AS438)))</f>
        <v>0</v>
      </c>
      <c r="N438" s="162">
        <f>IF(Главная!$P$9="Дол.",BB438,IF(Главная!$P$9="гривен.",AT438,IF(Главная!$P$9="рублей.",AM438,AT438)))</f>
        <v>0</v>
      </c>
      <c r="O438" s="162">
        <f>IF(Главная!$P$9="Дол.",BC438,IF(Главная!$P$9="гривен.",AU438,IF(Главная!$P$9="рублей.",AN438,AU438)))</f>
        <v>0</v>
      </c>
      <c r="P438" s="141">
        <v>2.12</v>
      </c>
      <c r="Q438" s="141">
        <v>2.12</v>
      </c>
    </row>
    <row r="439" spans="1:17" s="140" customFormat="1" ht="12.75" customHeight="1">
      <c r="A439" s="150">
        <f>IF(Главная!$P$9="Дол.",AX439,IF(Главная!$P$9="гривен.",AP439,IF(Главная!$P$9="рублей.",AI439,AP439)))</f>
        <v>0</v>
      </c>
      <c r="B439" s="141">
        <v>1.74</v>
      </c>
      <c r="J439" s="141">
        <v>1.74</v>
      </c>
      <c r="K439" s="162">
        <f>IF(Главная!$P$9="Дол.",AY439,IF(Главная!$P$9="гривен.",AQ439,IF(Главная!$P$9="рублей.",AJ439,AQ439)))</f>
        <v>0</v>
      </c>
      <c r="L439" s="162">
        <f>IF(Главная!$P$9="Дол.",AZ439,IF(Главная!$P$9="гривен.",AR439,IF(Главная!$P$9="рублей.",AK439,AR439)))</f>
        <v>0</v>
      </c>
      <c r="M439" s="162">
        <f>IF(Главная!$P$9="Дол.",BA439,IF(Главная!$P$9="гривен.",AS439,IF(Главная!$P$9="рублей.",AL439,AS439)))</f>
        <v>0</v>
      </c>
      <c r="N439" s="162">
        <f>IF(Главная!$P$9="Дол.",BB439,IF(Главная!$P$9="гривен.",AT439,IF(Главная!$P$9="рублей.",AM439,AT439)))</f>
        <v>0</v>
      </c>
      <c r="O439" s="162">
        <f>IF(Главная!$P$9="Дол.",BC439,IF(Главная!$P$9="гривен.",AU439,IF(Главная!$P$9="рублей.",AN439,AU439)))</f>
        <v>0</v>
      </c>
      <c r="P439" s="141">
        <v>1.74</v>
      </c>
      <c r="Q439" s="141">
        <v>1.74</v>
      </c>
    </row>
    <row r="440" spans="1:17" s="140" customFormat="1" ht="12.75" customHeight="1">
      <c r="A440" s="150">
        <f>IF(Главная!$P$9="Дол.",AX440,IF(Главная!$P$9="гривен.",AP440,IF(Главная!$P$9="рублей.",AI440,AP440)))</f>
        <v>0</v>
      </c>
      <c r="B440" s="141">
        <v>2.12</v>
      </c>
      <c r="J440" s="141">
        <v>2.12</v>
      </c>
      <c r="K440" s="162">
        <f>IF(Главная!$P$9="Дол.",AY440,IF(Главная!$P$9="гривен.",AQ440,IF(Главная!$P$9="рублей.",AJ440,AQ440)))</f>
        <v>0</v>
      </c>
      <c r="L440" s="162">
        <f>IF(Главная!$P$9="Дол.",AZ440,IF(Главная!$P$9="гривен.",AR440,IF(Главная!$P$9="рублей.",AK440,AR440)))</f>
        <v>0</v>
      </c>
      <c r="M440" s="162">
        <f>IF(Главная!$P$9="Дол.",BA440,IF(Главная!$P$9="гривен.",AS440,IF(Главная!$P$9="рублей.",AL440,AS440)))</f>
        <v>0</v>
      </c>
      <c r="N440" s="162">
        <f>IF(Главная!$P$9="Дол.",BB440,IF(Главная!$P$9="гривен.",AT440,IF(Главная!$P$9="рублей.",AM440,AT440)))</f>
        <v>0</v>
      </c>
      <c r="O440" s="162">
        <f>IF(Главная!$P$9="Дол.",BC440,IF(Главная!$P$9="гривен.",AU440,IF(Главная!$P$9="рублей.",AN440,AU440)))</f>
        <v>0</v>
      </c>
      <c r="P440" s="141">
        <v>2.12</v>
      </c>
      <c r="Q440" s="141">
        <v>2.12</v>
      </c>
    </row>
    <row r="441" spans="1:17" s="140" customFormat="1" ht="12.75" customHeight="1">
      <c r="A441" s="150">
        <f>IF(Главная!$P$9="Дол.",AX441,IF(Главная!$P$9="гривен.",AP441,IF(Главная!$P$9="рублей.",AI441,AP441)))</f>
        <v>0</v>
      </c>
      <c r="B441" s="141">
        <v>1.74</v>
      </c>
      <c r="J441" s="141">
        <v>1.74</v>
      </c>
      <c r="K441" s="162">
        <f>IF(Главная!$P$9="Дол.",AY441,IF(Главная!$P$9="гривен.",AQ441,IF(Главная!$P$9="рублей.",AJ441,AQ441)))</f>
        <v>0</v>
      </c>
      <c r="L441" s="162">
        <f>IF(Главная!$P$9="Дол.",AZ441,IF(Главная!$P$9="гривен.",AR441,IF(Главная!$P$9="рублей.",AK441,AR441)))</f>
        <v>0</v>
      </c>
      <c r="M441" s="162">
        <f>IF(Главная!$P$9="Дол.",BA441,IF(Главная!$P$9="гривен.",AS441,IF(Главная!$P$9="рублей.",AL441,AS441)))</f>
        <v>0</v>
      </c>
      <c r="N441" s="162">
        <f>IF(Главная!$P$9="Дол.",BB441,IF(Главная!$P$9="гривен.",AT441,IF(Главная!$P$9="рублей.",AM441,AT441)))</f>
        <v>0</v>
      </c>
      <c r="O441" s="162">
        <f>IF(Главная!$P$9="Дол.",BC441,IF(Главная!$P$9="гривен.",AU441,IF(Главная!$P$9="рублей.",AN441,AU441)))</f>
        <v>0</v>
      </c>
      <c r="P441" s="141">
        <v>1.74</v>
      </c>
      <c r="Q441" s="141">
        <v>1.74</v>
      </c>
    </row>
    <row r="442" spans="1:17" s="140" customFormat="1" ht="12.75" customHeight="1">
      <c r="A442" s="150">
        <f>IF(Главная!$P$9="Дол.",AX442,IF(Главная!$P$9="гривен.",AP442,IF(Главная!$P$9="рублей.",AI442,AP442)))</f>
        <v>0</v>
      </c>
      <c r="B442" s="141">
        <v>12</v>
      </c>
      <c r="J442" s="141">
        <v>12</v>
      </c>
      <c r="K442" s="162">
        <f>IF(Главная!$P$9="Дол.",AY442,IF(Главная!$P$9="гривен.",AQ442,IF(Главная!$P$9="рублей.",AJ442,AQ442)))</f>
        <v>0</v>
      </c>
      <c r="L442" s="162">
        <f>IF(Главная!$P$9="Дол.",AZ442,IF(Главная!$P$9="гривен.",AR442,IF(Главная!$P$9="рублей.",AK442,AR442)))</f>
        <v>0</v>
      </c>
      <c r="M442" s="162">
        <f>IF(Главная!$P$9="Дол.",BA442,IF(Главная!$P$9="гривен.",AS442,IF(Главная!$P$9="рублей.",AL442,AS442)))</f>
        <v>0</v>
      </c>
      <c r="N442" s="162">
        <f>IF(Главная!$P$9="Дол.",BB442,IF(Главная!$P$9="гривен.",AT442,IF(Главная!$P$9="рублей.",AM442,AT442)))</f>
        <v>0</v>
      </c>
      <c r="O442" s="162">
        <f>IF(Главная!$P$9="Дол.",BC442,IF(Главная!$P$9="гривен.",AU442,IF(Главная!$P$9="рублей.",AN442,AU442)))</f>
        <v>0</v>
      </c>
      <c r="P442" s="141">
        <v>12</v>
      </c>
      <c r="Q442" s="141">
        <v>12</v>
      </c>
    </row>
    <row r="443" spans="1:17" s="140" customFormat="1" ht="12.75" customHeight="1">
      <c r="A443" s="150">
        <f>IF(Главная!$P$9="Дол.",AX443,IF(Главная!$P$9="гривен.",AP443,IF(Главная!$P$9="рублей.",AI443,AP443)))</f>
        <v>0</v>
      </c>
      <c r="B443" s="141">
        <v>2.23</v>
      </c>
      <c r="J443" s="141">
        <v>2.23</v>
      </c>
      <c r="K443" s="162">
        <f>IF(Главная!$P$9="Дол.",AY443,IF(Главная!$P$9="гривен.",AQ443,IF(Главная!$P$9="рублей.",AJ443,AQ443)))</f>
        <v>0</v>
      </c>
      <c r="L443" s="162">
        <f>IF(Главная!$P$9="Дол.",AZ443,IF(Главная!$P$9="гривен.",AR443,IF(Главная!$P$9="рублей.",AK443,AR443)))</f>
        <v>0</v>
      </c>
      <c r="M443" s="162">
        <f>IF(Главная!$P$9="Дол.",BA443,IF(Главная!$P$9="гривен.",AS443,IF(Главная!$P$9="рублей.",AL443,AS443)))</f>
        <v>0</v>
      </c>
      <c r="N443" s="162">
        <f>IF(Главная!$P$9="Дол.",BB443,IF(Главная!$P$9="гривен.",AT443,IF(Главная!$P$9="рублей.",AM443,AT443)))</f>
        <v>0</v>
      </c>
      <c r="O443" s="162">
        <f>IF(Главная!$P$9="Дол.",BC443,IF(Главная!$P$9="гривен.",AU443,IF(Главная!$P$9="рублей.",AN443,AU443)))</f>
        <v>0</v>
      </c>
      <c r="P443" s="141">
        <v>2.23</v>
      </c>
      <c r="Q443" s="141">
        <v>2.23</v>
      </c>
    </row>
    <row r="444" spans="1:17" s="140" customFormat="1" ht="12.75" customHeight="1">
      <c r="A444" s="150">
        <f>IF(Главная!$P$9="Дол.",AX444,IF(Главная!$P$9="гривен.",AP444,IF(Главная!$P$9="рублей.",AI444,AP444)))</f>
        <v>0</v>
      </c>
      <c r="B444" s="141">
        <v>1.21</v>
      </c>
      <c r="J444" s="141">
        <v>1.21</v>
      </c>
      <c r="K444" s="162">
        <f>IF(Главная!$P$9="Дол.",AY444,IF(Главная!$P$9="гривен.",AQ444,IF(Главная!$P$9="рублей.",AJ444,AQ444)))</f>
        <v>0</v>
      </c>
      <c r="L444" s="162">
        <f>IF(Главная!$P$9="Дол.",AZ444,IF(Главная!$P$9="гривен.",AR444,IF(Главная!$P$9="рублей.",AK444,AR444)))</f>
        <v>0</v>
      </c>
      <c r="M444" s="162">
        <f>IF(Главная!$P$9="Дол.",BA444,IF(Главная!$P$9="гривен.",AS444,IF(Главная!$P$9="рублей.",AL444,AS444)))</f>
        <v>0</v>
      </c>
      <c r="N444" s="162">
        <f>IF(Главная!$P$9="Дол.",BB444,IF(Главная!$P$9="гривен.",AT444,IF(Главная!$P$9="рублей.",AM444,AT444)))</f>
        <v>0</v>
      </c>
      <c r="O444" s="162">
        <f>IF(Главная!$P$9="Дол.",BC444,IF(Главная!$P$9="гривен.",AU444,IF(Главная!$P$9="рублей.",AN444,AU444)))</f>
        <v>0</v>
      </c>
      <c r="P444" s="141">
        <v>1.21</v>
      </c>
      <c r="Q444" s="141">
        <v>1.21</v>
      </c>
    </row>
    <row r="445" spans="1:17" s="140" customFormat="1" ht="12.75" customHeight="1">
      <c r="A445" s="150">
        <f>IF(Главная!$P$9="Дол.",AX445,IF(Главная!$P$9="гривен.",AP445,IF(Главная!$P$9="рублей.",AI445,AP445)))</f>
        <v>0</v>
      </c>
      <c r="B445" s="141">
        <v>1.86</v>
      </c>
      <c r="J445" s="141">
        <v>1.86</v>
      </c>
      <c r="K445" s="162">
        <f>IF(Главная!$P$9="Дол.",AY445,IF(Главная!$P$9="гривен.",AQ445,IF(Главная!$P$9="рублей.",AJ445,AQ445)))</f>
        <v>0</v>
      </c>
      <c r="L445" s="162">
        <f>IF(Главная!$P$9="Дол.",AZ445,IF(Главная!$P$9="гривен.",AR445,IF(Главная!$P$9="рублей.",AK445,AR445)))</f>
        <v>0</v>
      </c>
      <c r="M445" s="162">
        <f>IF(Главная!$P$9="Дол.",BA445,IF(Главная!$P$9="гривен.",AS445,IF(Главная!$P$9="рублей.",AL445,AS445)))</f>
        <v>0</v>
      </c>
      <c r="N445" s="162">
        <f>IF(Главная!$P$9="Дол.",BB445,IF(Главная!$P$9="гривен.",AT445,IF(Главная!$P$9="рублей.",AM445,AT445)))</f>
        <v>0</v>
      </c>
      <c r="O445" s="162">
        <f>IF(Главная!$P$9="Дол.",BC445,IF(Главная!$P$9="гривен.",AU445,IF(Главная!$P$9="рублей.",AN445,AU445)))</f>
        <v>0</v>
      </c>
      <c r="P445" s="141">
        <v>1.86</v>
      </c>
      <c r="Q445" s="141">
        <v>1.86</v>
      </c>
    </row>
    <row r="446" spans="1:17" s="140" customFormat="1" ht="12.75" customHeight="1">
      <c r="A446" s="150">
        <f>IF(Главная!$P$9="Дол.",AX446,IF(Главная!$P$9="гривен.",AP446,IF(Главная!$P$9="рублей.",AI446,AP446)))</f>
        <v>0</v>
      </c>
      <c r="B446" s="141">
        <v>2.12</v>
      </c>
      <c r="J446" s="141">
        <v>2.12</v>
      </c>
      <c r="K446" s="162">
        <f>IF(Главная!$P$9="Дол.",AY446,IF(Главная!$P$9="гривен.",AQ446,IF(Главная!$P$9="рублей.",AJ446,AQ446)))</f>
        <v>0</v>
      </c>
      <c r="L446" s="162">
        <f>IF(Главная!$P$9="Дол.",AZ446,IF(Главная!$P$9="гривен.",AR446,IF(Главная!$P$9="рублей.",AK446,AR446)))</f>
        <v>0</v>
      </c>
      <c r="M446" s="162">
        <f>IF(Главная!$P$9="Дол.",BA446,IF(Главная!$P$9="гривен.",AS446,IF(Главная!$P$9="рублей.",AL446,AS446)))</f>
        <v>0</v>
      </c>
      <c r="N446" s="162">
        <f>IF(Главная!$P$9="Дол.",BB446,IF(Главная!$P$9="гривен.",AT446,IF(Главная!$P$9="рублей.",AM446,AT446)))</f>
        <v>0</v>
      </c>
      <c r="O446" s="162">
        <f>IF(Главная!$P$9="Дол.",BC446,IF(Главная!$P$9="гривен.",AU446,IF(Главная!$P$9="рублей.",AN446,AU446)))</f>
        <v>0</v>
      </c>
      <c r="P446" s="141">
        <v>2.12</v>
      </c>
      <c r="Q446" s="141">
        <v>2.12</v>
      </c>
    </row>
    <row r="447" spans="1:17" s="140" customFormat="1" ht="12.75" customHeight="1">
      <c r="A447" s="150">
        <f>IF(Главная!$P$9="Дол.",AX447,IF(Главная!$P$9="гривен.",AP447,IF(Главная!$P$9="рублей.",AI447,AP447)))</f>
        <v>0</v>
      </c>
      <c r="B447" s="141">
        <v>1.86</v>
      </c>
      <c r="J447" s="141">
        <v>1.86</v>
      </c>
      <c r="K447" s="162">
        <f>IF(Главная!$P$9="Дол.",AY447,IF(Главная!$P$9="гривен.",AQ447,IF(Главная!$P$9="рублей.",AJ447,AQ447)))</f>
        <v>0</v>
      </c>
      <c r="L447" s="162">
        <f>IF(Главная!$P$9="Дол.",AZ447,IF(Главная!$P$9="гривен.",AR447,IF(Главная!$P$9="рублей.",AK447,AR447)))</f>
        <v>0</v>
      </c>
      <c r="M447" s="162">
        <f>IF(Главная!$P$9="Дол.",BA447,IF(Главная!$P$9="гривен.",AS447,IF(Главная!$P$9="рублей.",AL447,AS447)))</f>
        <v>0</v>
      </c>
      <c r="N447" s="162">
        <f>IF(Главная!$P$9="Дол.",BB447,IF(Главная!$P$9="гривен.",AT447,IF(Главная!$P$9="рублей.",AM447,AT447)))</f>
        <v>0</v>
      </c>
      <c r="O447" s="162">
        <f>IF(Главная!$P$9="Дол.",BC447,IF(Главная!$P$9="гривен.",AU447,IF(Главная!$P$9="рублей.",AN447,AU447)))</f>
        <v>0</v>
      </c>
      <c r="P447" s="141">
        <v>1.86</v>
      </c>
      <c r="Q447" s="141">
        <v>1.86</v>
      </c>
    </row>
    <row r="448" spans="1:17" s="140" customFormat="1" ht="12.75" customHeight="1">
      <c r="A448" s="150">
        <f>IF(Главная!$P$9="Дол.",AX448,IF(Главная!$P$9="гривен.",AP448,IF(Главная!$P$9="рублей.",AI448,AP448)))</f>
        <v>0</v>
      </c>
      <c r="B448" s="141">
        <v>2.12</v>
      </c>
      <c r="J448" s="141">
        <v>2.12</v>
      </c>
      <c r="K448" s="162">
        <f>IF(Главная!$P$9="Дол.",AY448,IF(Главная!$P$9="гривен.",AQ448,IF(Главная!$P$9="рублей.",AJ448,AQ448)))</f>
        <v>0</v>
      </c>
      <c r="L448" s="162">
        <f>IF(Главная!$P$9="Дол.",AZ448,IF(Главная!$P$9="гривен.",AR448,IF(Главная!$P$9="рублей.",AK448,AR448)))</f>
        <v>0</v>
      </c>
      <c r="M448" s="162">
        <f>IF(Главная!$P$9="Дол.",BA448,IF(Главная!$P$9="гривен.",AS448,IF(Главная!$P$9="рублей.",AL448,AS448)))</f>
        <v>0</v>
      </c>
      <c r="N448" s="162">
        <f>IF(Главная!$P$9="Дол.",BB448,IF(Главная!$P$9="гривен.",AT448,IF(Главная!$P$9="рублей.",AM448,AT448)))</f>
        <v>0</v>
      </c>
      <c r="O448" s="162">
        <f>IF(Главная!$P$9="Дол.",BC448,IF(Главная!$P$9="гривен.",AU448,IF(Главная!$P$9="рублей.",AN448,AU448)))</f>
        <v>0</v>
      </c>
      <c r="P448" s="141">
        <v>2.12</v>
      </c>
      <c r="Q448" s="141">
        <v>2.12</v>
      </c>
    </row>
    <row r="449" spans="1:17" s="140" customFormat="1" ht="12.75" customHeight="1">
      <c r="A449" s="150">
        <f>IF(Главная!$P$9="Дол.",AX449,IF(Главная!$P$9="гривен.",AP449,IF(Главная!$P$9="рублей.",AI449,AP449)))</f>
        <v>0</v>
      </c>
      <c r="B449" s="141">
        <v>1.21</v>
      </c>
      <c r="J449" s="141">
        <v>1.21</v>
      </c>
      <c r="K449" s="162">
        <f>IF(Главная!$P$9="Дол.",AY449,IF(Главная!$P$9="гривен.",AQ449,IF(Главная!$P$9="рублей.",AJ449,AQ449)))</f>
        <v>0</v>
      </c>
      <c r="L449" s="162">
        <f>IF(Главная!$P$9="Дол.",AZ449,IF(Главная!$P$9="гривен.",AR449,IF(Главная!$P$9="рублей.",AK449,AR449)))</f>
        <v>0</v>
      </c>
      <c r="M449" s="162">
        <f>IF(Главная!$P$9="Дол.",BA449,IF(Главная!$P$9="гривен.",AS449,IF(Главная!$P$9="рублей.",AL449,AS449)))</f>
        <v>0</v>
      </c>
      <c r="N449" s="162">
        <f>IF(Главная!$P$9="Дол.",BB449,IF(Главная!$P$9="гривен.",AT449,IF(Главная!$P$9="рублей.",AM449,AT449)))</f>
        <v>0</v>
      </c>
      <c r="O449" s="162">
        <f>IF(Главная!$P$9="Дол.",BC449,IF(Главная!$P$9="гривен.",AU449,IF(Главная!$P$9="рублей.",AN449,AU449)))</f>
        <v>0</v>
      </c>
      <c r="P449" s="141">
        <v>1.21</v>
      </c>
      <c r="Q449" s="141">
        <v>1.21</v>
      </c>
    </row>
    <row r="450" spans="1:17" s="140" customFormat="1" ht="12.75" customHeight="1">
      <c r="A450" s="150">
        <f>IF(Главная!$P$9="Дол.",AX450,IF(Главная!$P$9="гривен.",AP450,IF(Главная!$P$9="рублей.",AI450,AP450)))</f>
        <v>0</v>
      </c>
      <c r="B450" s="141">
        <v>2.59</v>
      </c>
      <c r="J450" s="141">
        <v>2.59</v>
      </c>
      <c r="K450" s="162">
        <f>IF(Главная!$P$9="Дол.",AY450,IF(Главная!$P$9="гривен.",AQ450,IF(Главная!$P$9="рублей.",AJ450,AQ450)))</f>
        <v>0</v>
      </c>
      <c r="L450" s="162">
        <f>IF(Главная!$P$9="Дол.",AZ450,IF(Главная!$P$9="гривен.",AR450,IF(Главная!$P$9="рублей.",AK450,AR450)))</f>
        <v>0</v>
      </c>
      <c r="M450" s="162">
        <f>IF(Главная!$P$9="Дол.",BA450,IF(Главная!$P$9="гривен.",AS450,IF(Главная!$P$9="рублей.",AL450,AS450)))</f>
        <v>0</v>
      </c>
      <c r="N450" s="162">
        <f>IF(Главная!$P$9="Дол.",BB450,IF(Главная!$P$9="гривен.",AT450,IF(Главная!$P$9="рублей.",AM450,AT450)))</f>
        <v>0</v>
      </c>
      <c r="O450" s="162">
        <f>IF(Главная!$P$9="Дол.",BC450,IF(Главная!$P$9="гривен.",AU450,IF(Главная!$P$9="рублей.",AN450,AU450)))</f>
        <v>0</v>
      </c>
      <c r="P450" s="141">
        <v>2.59</v>
      </c>
      <c r="Q450" s="141">
        <v>2.59</v>
      </c>
    </row>
    <row r="451" spans="1:17" s="140" customFormat="1" ht="12.75" customHeight="1">
      <c r="A451" s="150">
        <f>IF(Главная!$P$9="Дол.",AX451,IF(Главная!$P$9="гривен.",AP451,IF(Главная!$P$9="рублей.",AI451,AP451)))</f>
        <v>0</v>
      </c>
      <c r="B451" s="141">
        <v>2.59</v>
      </c>
      <c r="J451" s="141">
        <v>2.59</v>
      </c>
      <c r="K451" s="162">
        <f>IF(Главная!$P$9="Дол.",AY451,IF(Главная!$P$9="гривен.",AQ451,IF(Главная!$P$9="рублей.",AJ451,AQ451)))</f>
        <v>0</v>
      </c>
      <c r="L451" s="162">
        <f>IF(Главная!$P$9="Дол.",AZ451,IF(Главная!$P$9="гривен.",AR451,IF(Главная!$P$9="рублей.",AK451,AR451)))</f>
        <v>0</v>
      </c>
      <c r="M451" s="162">
        <f>IF(Главная!$P$9="Дол.",BA451,IF(Главная!$P$9="гривен.",AS451,IF(Главная!$P$9="рублей.",AL451,AS451)))</f>
        <v>0</v>
      </c>
      <c r="N451" s="162">
        <f>IF(Главная!$P$9="Дол.",BB451,IF(Главная!$P$9="гривен.",AT451,IF(Главная!$P$9="рублей.",AM451,AT451)))</f>
        <v>0</v>
      </c>
      <c r="O451" s="162">
        <f>IF(Главная!$P$9="Дол.",BC451,IF(Главная!$P$9="гривен.",AU451,IF(Главная!$P$9="рублей.",AN451,AU451)))</f>
        <v>0</v>
      </c>
      <c r="P451" s="141">
        <v>2.59</v>
      </c>
      <c r="Q451" s="141">
        <v>2.59</v>
      </c>
    </row>
    <row r="452" spans="1:17" s="140" customFormat="1" ht="12.75" customHeight="1">
      <c r="A452" s="150">
        <f>IF(Главная!$P$9="Дол.",AX452,IF(Главная!$P$9="гривен.",AP452,IF(Главная!$P$9="рублей.",AI452,AP452)))</f>
        <v>0</v>
      </c>
      <c r="B452" s="141">
        <v>1.86</v>
      </c>
      <c r="J452" s="141">
        <v>1.86</v>
      </c>
      <c r="K452" s="162">
        <f>IF(Главная!$P$9="Дол.",AY452,IF(Главная!$P$9="гривен.",AQ452,IF(Главная!$P$9="рублей.",AJ452,AQ452)))</f>
        <v>0</v>
      </c>
      <c r="L452" s="162">
        <f>IF(Главная!$P$9="Дол.",AZ452,IF(Главная!$P$9="гривен.",AR452,IF(Главная!$P$9="рублей.",AK452,AR452)))</f>
        <v>0</v>
      </c>
      <c r="M452" s="162">
        <f>IF(Главная!$P$9="Дол.",BA452,IF(Главная!$P$9="гривен.",AS452,IF(Главная!$P$9="рублей.",AL452,AS452)))</f>
        <v>0</v>
      </c>
      <c r="N452" s="162">
        <f>IF(Главная!$P$9="Дол.",BB452,IF(Главная!$P$9="гривен.",AT452,IF(Главная!$P$9="рублей.",AM452,AT452)))</f>
        <v>0</v>
      </c>
      <c r="O452" s="162">
        <f>IF(Главная!$P$9="Дол.",BC452,IF(Главная!$P$9="гривен.",AU452,IF(Главная!$P$9="рублей.",AN452,AU452)))</f>
        <v>0</v>
      </c>
      <c r="P452" s="141">
        <v>1.86</v>
      </c>
      <c r="Q452" s="141">
        <v>1.86</v>
      </c>
    </row>
    <row r="453" spans="1:17" s="140" customFormat="1" ht="12.75" customHeight="1">
      <c r="A453" s="150">
        <f>IF(Главная!$P$9="Дол.",AX453,IF(Главная!$P$9="гривен.",AP453,IF(Главная!$P$9="рублей.",AI453,AP453)))</f>
        <v>0</v>
      </c>
      <c r="B453" s="141">
        <v>2.12</v>
      </c>
      <c r="J453" s="141">
        <v>2.12</v>
      </c>
      <c r="K453" s="162">
        <f>IF(Главная!$P$9="Дол.",AY453,IF(Главная!$P$9="гривен.",AQ453,IF(Главная!$P$9="рублей.",AJ453,AQ453)))</f>
        <v>0</v>
      </c>
      <c r="L453" s="162">
        <f>IF(Главная!$P$9="Дол.",AZ453,IF(Главная!$P$9="гривен.",AR453,IF(Главная!$P$9="рублей.",AK453,AR453)))</f>
        <v>0</v>
      </c>
      <c r="M453" s="162">
        <f>IF(Главная!$P$9="Дол.",BA453,IF(Главная!$P$9="гривен.",AS453,IF(Главная!$P$9="рублей.",AL453,AS453)))</f>
        <v>0</v>
      </c>
      <c r="N453" s="162">
        <f>IF(Главная!$P$9="Дол.",BB453,IF(Главная!$P$9="гривен.",AT453,IF(Главная!$P$9="рублей.",AM453,AT453)))</f>
        <v>0</v>
      </c>
      <c r="O453" s="162">
        <f>IF(Главная!$P$9="Дол.",BC453,IF(Главная!$P$9="гривен.",AU453,IF(Главная!$P$9="рублей.",AN453,AU453)))</f>
        <v>0</v>
      </c>
      <c r="P453" s="141">
        <v>2.12</v>
      </c>
      <c r="Q453" s="141">
        <v>2.12</v>
      </c>
    </row>
    <row r="454" spans="1:17" s="140" customFormat="1" ht="12.75" customHeight="1">
      <c r="A454" s="150">
        <f>IF(Главная!$P$9="Дол.",AX454,IF(Главная!$P$9="гривен.",AP454,IF(Главная!$P$9="рублей.",AI454,AP454)))</f>
        <v>0</v>
      </c>
      <c r="B454" s="141">
        <v>1.47</v>
      </c>
      <c r="J454" s="141">
        <v>1.47</v>
      </c>
      <c r="K454" s="162">
        <f>IF(Главная!$P$9="Дол.",AY454,IF(Главная!$P$9="гривен.",AQ454,IF(Главная!$P$9="рублей.",AJ454,AQ454)))</f>
        <v>0</v>
      </c>
      <c r="L454" s="162">
        <f>IF(Главная!$P$9="Дол.",AZ454,IF(Главная!$P$9="гривен.",AR454,IF(Главная!$P$9="рублей.",AK454,AR454)))</f>
        <v>0</v>
      </c>
      <c r="M454" s="162">
        <f>IF(Главная!$P$9="Дол.",BA454,IF(Главная!$P$9="гривен.",AS454,IF(Главная!$P$9="рублей.",AL454,AS454)))</f>
        <v>0</v>
      </c>
      <c r="N454" s="162">
        <f>IF(Главная!$P$9="Дол.",BB454,IF(Главная!$P$9="гривен.",AT454,IF(Главная!$P$9="рублей.",AM454,AT454)))</f>
        <v>0</v>
      </c>
      <c r="O454" s="162">
        <f>IF(Главная!$P$9="Дол.",BC454,IF(Главная!$P$9="гривен.",AU454,IF(Главная!$P$9="рублей.",AN454,AU454)))</f>
        <v>0</v>
      </c>
      <c r="P454" s="141">
        <v>1.47</v>
      </c>
      <c r="Q454" s="141">
        <v>1.47</v>
      </c>
    </row>
    <row r="455" spans="1:17" s="140" customFormat="1" ht="12.75" customHeight="1">
      <c r="A455" s="150">
        <f>IF(Главная!$P$9="Дол.",AX455,IF(Главная!$P$9="гривен.",AP455,IF(Главная!$P$9="рублей.",AI455,AP455)))</f>
        <v>0</v>
      </c>
      <c r="B455" s="141">
        <v>1.21</v>
      </c>
      <c r="J455" s="141">
        <v>1.21</v>
      </c>
      <c r="K455" s="162">
        <f>IF(Главная!$P$9="Дол.",AY455,IF(Главная!$P$9="гривен.",AQ455,IF(Главная!$P$9="рублей.",AJ455,AQ455)))</f>
        <v>0</v>
      </c>
      <c r="L455" s="162">
        <f>IF(Главная!$P$9="Дол.",AZ455,IF(Главная!$P$9="гривен.",AR455,IF(Главная!$P$9="рублей.",AK455,AR455)))</f>
        <v>0</v>
      </c>
      <c r="M455" s="162">
        <f>IF(Главная!$P$9="Дол.",BA455,IF(Главная!$P$9="гривен.",AS455,IF(Главная!$P$9="рублей.",AL455,AS455)))</f>
        <v>0</v>
      </c>
      <c r="N455" s="162">
        <f>IF(Главная!$P$9="Дол.",BB455,IF(Главная!$P$9="гривен.",AT455,IF(Главная!$P$9="рублей.",AM455,AT455)))</f>
        <v>0</v>
      </c>
      <c r="O455" s="162">
        <f>IF(Главная!$P$9="Дол.",BC455,IF(Главная!$P$9="гривен.",AU455,IF(Главная!$P$9="рублей.",AN455,AU455)))</f>
        <v>0</v>
      </c>
      <c r="P455" s="141">
        <v>1.21</v>
      </c>
      <c r="Q455" s="141">
        <v>1.21</v>
      </c>
    </row>
    <row r="456" spans="1:17" s="140" customFormat="1" ht="12.75" customHeight="1">
      <c r="A456" s="150">
        <f>IF(Главная!$P$9="Дол.",AX456,IF(Главная!$P$9="гривен.",AP456,IF(Главная!$P$9="рублей.",AI456,AP456)))</f>
        <v>0</v>
      </c>
      <c r="B456" s="141">
        <v>1.86</v>
      </c>
      <c r="J456" s="141">
        <v>1.86</v>
      </c>
      <c r="K456" s="162">
        <f>IF(Главная!$P$9="Дол.",AY456,IF(Главная!$P$9="гривен.",AQ456,IF(Главная!$P$9="рублей.",AJ456,AQ456)))</f>
        <v>0</v>
      </c>
      <c r="L456" s="162">
        <f>IF(Главная!$P$9="Дол.",AZ456,IF(Главная!$P$9="гривен.",AR456,IF(Главная!$P$9="рублей.",AK456,AR456)))</f>
        <v>0</v>
      </c>
      <c r="M456" s="162">
        <f>IF(Главная!$P$9="Дол.",BA456,IF(Главная!$P$9="гривен.",AS456,IF(Главная!$P$9="рублей.",AL456,AS456)))</f>
        <v>0</v>
      </c>
      <c r="N456" s="162">
        <f>IF(Главная!$P$9="Дол.",BB456,IF(Главная!$P$9="гривен.",AT456,IF(Главная!$P$9="рублей.",AM456,AT456)))</f>
        <v>0</v>
      </c>
      <c r="O456" s="162">
        <f>IF(Главная!$P$9="Дол.",BC456,IF(Главная!$P$9="гривен.",AU456,IF(Главная!$P$9="рублей.",AN456,AU456)))</f>
        <v>0</v>
      </c>
      <c r="P456" s="141">
        <v>1.86</v>
      </c>
      <c r="Q456" s="141">
        <v>1.86</v>
      </c>
    </row>
    <row r="457" spans="1:17" s="140" customFormat="1" ht="12.75" customHeight="1">
      <c r="A457" s="150">
        <f>IF(Главная!$P$9="Дол.",AX457,IF(Главная!$P$9="гривен.",AP457,IF(Главная!$P$9="рублей.",AI457,AP457)))</f>
        <v>0</v>
      </c>
      <c r="B457" s="141">
        <v>1.21</v>
      </c>
      <c r="J457" s="141">
        <v>1.21</v>
      </c>
      <c r="K457" s="162">
        <f>IF(Главная!$P$9="Дол.",AY457,IF(Главная!$P$9="гривен.",AQ457,IF(Главная!$P$9="рублей.",AJ457,AQ457)))</f>
        <v>0</v>
      </c>
      <c r="L457" s="162">
        <f>IF(Главная!$P$9="Дол.",AZ457,IF(Главная!$P$9="гривен.",AR457,IF(Главная!$P$9="рублей.",AK457,AR457)))</f>
        <v>0</v>
      </c>
      <c r="M457" s="162">
        <f>IF(Главная!$P$9="Дол.",BA457,IF(Главная!$P$9="гривен.",AS457,IF(Главная!$P$9="рублей.",AL457,AS457)))</f>
        <v>0</v>
      </c>
      <c r="N457" s="162">
        <f>IF(Главная!$P$9="Дол.",BB457,IF(Главная!$P$9="гривен.",AT457,IF(Главная!$P$9="рублей.",AM457,AT457)))</f>
        <v>0</v>
      </c>
      <c r="O457" s="162">
        <f>IF(Главная!$P$9="Дол.",BC457,IF(Главная!$P$9="гривен.",AU457,IF(Главная!$P$9="рублей.",AN457,AU457)))</f>
        <v>0</v>
      </c>
      <c r="P457" s="141">
        <v>1.21</v>
      </c>
      <c r="Q457" s="141">
        <v>1.21</v>
      </c>
    </row>
    <row r="458" spans="1:17" s="140" customFormat="1" ht="12.75" customHeight="1">
      <c r="A458" s="150">
        <f>IF(Главная!$P$9="Дол.",AX458,IF(Главная!$P$9="гривен.",AP458,IF(Главная!$P$9="рублей.",AI458,AP458)))</f>
        <v>0</v>
      </c>
      <c r="B458" s="141">
        <v>2.59</v>
      </c>
      <c r="J458" s="141">
        <v>2.59</v>
      </c>
      <c r="K458" s="162">
        <f>IF(Главная!$P$9="Дол.",AY458,IF(Главная!$P$9="гривен.",AQ458,IF(Главная!$P$9="рублей.",AJ458,AQ458)))</f>
        <v>0</v>
      </c>
      <c r="L458" s="162">
        <f>IF(Главная!$P$9="Дол.",AZ458,IF(Главная!$P$9="гривен.",AR458,IF(Главная!$P$9="рублей.",AK458,AR458)))</f>
        <v>0</v>
      </c>
      <c r="M458" s="162">
        <f>IF(Главная!$P$9="Дол.",BA458,IF(Главная!$P$9="гривен.",AS458,IF(Главная!$P$9="рублей.",AL458,AS458)))</f>
        <v>0</v>
      </c>
      <c r="N458" s="162">
        <f>IF(Главная!$P$9="Дол.",BB458,IF(Главная!$P$9="гривен.",AT458,IF(Главная!$P$9="рублей.",AM458,AT458)))</f>
        <v>0</v>
      </c>
      <c r="O458" s="162">
        <f>IF(Главная!$P$9="Дол.",BC458,IF(Главная!$P$9="гривен.",AU458,IF(Главная!$P$9="рублей.",AN458,AU458)))</f>
        <v>0</v>
      </c>
      <c r="P458" s="141">
        <v>2.59</v>
      </c>
      <c r="Q458" s="141">
        <v>2.59</v>
      </c>
    </row>
    <row r="459" spans="1:17" s="140" customFormat="1" ht="12.75" customHeight="1">
      <c r="A459" s="150">
        <f>IF(Главная!$P$9="Дол.",AX459,IF(Главная!$P$9="гривен.",AP459,IF(Главная!$P$9="рублей.",AI459,AP459)))</f>
        <v>0</v>
      </c>
      <c r="B459" s="141">
        <v>2.59</v>
      </c>
      <c r="J459" s="141">
        <v>2.59</v>
      </c>
      <c r="K459" s="162">
        <f>IF(Главная!$P$9="Дол.",AY459,IF(Главная!$P$9="гривен.",AQ459,IF(Главная!$P$9="рублей.",AJ459,AQ459)))</f>
        <v>0</v>
      </c>
      <c r="L459" s="162">
        <f>IF(Главная!$P$9="Дол.",AZ459,IF(Главная!$P$9="гривен.",AR459,IF(Главная!$P$9="рублей.",AK459,AR459)))</f>
        <v>0</v>
      </c>
      <c r="M459" s="162">
        <f>IF(Главная!$P$9="Дол.",BA459,IF(Главная!$P$9="гривен.",AS459,IF(Главная!$P$9="рублей.",AL459,AS459)))</f>
        <v>0</v>
      </c>
      <c r="N459" s="162">
        <f>IF(Главная!$P$9="Дол.",BB459,IF(Главная!$P$9="гривен.",AT459,IF(Главная!$P$9="рублей.",AM459,AT459)))</f>
        <v>0</v>
      </c>
      <c r="O459" s="162">
        <f>IF(Главная!$P$9="Дол.",BC459,IF(Главная!$P$9="гривен.",AU459,IF(Главная!$P$9="рублей.",AN459,AU459)))</f>
        <v>0</v>
      </c>
      <c r="P459" s="141">
        <v>2.59</v>
      </c>
      <c r="Q459" s="141">
        <v>2.59</v>
      </c>
    </row>
    <row r="460" spans="1:17" s="140" customFormat="1" ht="12.75" customHeight="1">
      <c r="A460" s="150">
        <f>IF(Главная!$P$9="Дол.",AX460,IF(Главная!$P$9="гривен.",AP460,IF(Главная!$P$9="рублей.",AI460,AP460)))</f>
        <v>0</v>
      </c>
      <c r="B460" s="141">
        <v>1.21</v>
      </c>
      <c r="J460" s="141">
        <v>1.21</v>
      </c>
      <c r="K460" s="162">
        <f>IF(Главная!$P$9="Дол.",AY460,IF(Главная!$P$9="гривен.",AQ460,IF(Главная!$P$9="рублей.",AJ460,AQ460)))</f>
        <v>0</v>
      </c>
      <c r="L460" s="162">
        <f>IF(Главная!$P$9="Дол.",AZ460,IF(Главная!$P$9="гривен.",AR460,IF(Главная!$P$9="рублей.",AK460,AR460)))</f>
        <v>0</v>
      </c>
      <c r="M460" s="162">
        <f>IF(Главная!$P$9="Дол.",BA460,IF(Главная!$P$9="гривен.",AS460,IF(Главная!$P$9="рублей.",AL460,AS460)))</f>
        <v>0</v>
      </c>
      <c r="N460" s="162">
        <f>IF(Главная!$P$9="Дол.",BB460,IF(Главная!$P$9="гривен.",AT460,IF(Главная!$P$9="рублей.",AM460,AT460)))</f>
        <v>0</v>
      </c>
      <c r="O460" s="162">
        <f>IF(Главная!$P$9="Дол.",BC460,IF(Главная!$P$9="гривен.",AU460,IF(Главная!$P$9="рублей.",AN460,AU460)))</f>
        <v>0</v>
      </c>
      <c r="P460" s="141">
        <v>1.21</v>
      </c>
      <c r="Q460" s="141">
        <v>1.21</v>
      </c>
    </row>
    <row r="461" spans="1:17" s="140" customFormat="1" ht="12.75" customHeight="1">
      <c r="A461" s="150">
        <f>IF(Главная!$P$9="Дол.",AX461,IF(Главная!$P$9="гривен.",AP461,IF(Главная!$P$9="рублей.",AI461,AP461)))</f>
        <v>0</v>
      </c>
      <c r="B461" s="141">
        <v>1.74</v>
      </c>
      <c r="J461" s="141">
        <v>1.74</v>
      </c>
      <c r="K461" s="162">
        <f>IF(Главная!$P$9="Дол.",AY461,IF(Главная!$P$9="гривен.",AQ461,IF(Главная!$P$9="рублей.",AJ461,AQ461)))</f>
        <v>0</v>
      </c>
      <c r="L461" s="162">
        <f>IF(Главная!$P$9="Дол.",AZ461,IF(Главная!$P$9="гривен.",AR461,IF(Главная!$P$9="рублей.",AK461,AR461)))</f>
        <v>0</v>
      </c>
      <c r="M461" s="162">
        <f>IF(Главная!$P$9="Дол.",BA461,IF(Главная!$P$9="гривен.",AS461,IF(Главная!$P$9="рублей.",AL461,AS461)))</f>
        <v>0</v>
      </c>
      <c r="N461" s="162">
        <f>IF(Главная!$P$9="Дол.",BB461,IF(Главная!$P$9="гривен.",AT461,IF(Главная!$P$9="рублей.",AM461,AT461)))</f>
        <v>0</v>
      </c>
      <c r="O461" s="162">
        <f>IF(Главная!$P$9="Дол.",BC461,IF(Главная!$P$9="гривен.",AU461,IF(Главная!$P$9="рублей.",AN461,AU461)))</f>
        <v>0</v>
      </c>
      <c r="P461" s="141">
        <v>1.74</v>
      </c>
      <c r="Q461" s="141">
        <v>1.74</v>
      </c>
    </row>
    <row r="462" spans="1:17" s="140" customFormat="1" ht="12.75" customHeight="1">
      <c r="A462" s="150">
        <f>IF(Главная!$P$9="Дол.",AX462,IF(Главная!$P$9="гривен.",AP462,IF(Главная!$P$9="рублей.",AI462,AP462)))</f>
        <v>0</v>
      </c>
      <c r="B462" s="141">
        <v>2.23</v>
      </c>
      <c r="J462" s="141">
        <v>2.23</v>
      </c>
      <c r="K462" s="162">
        <f>IF(Главная!$P$9="Дол.",AY462,IF(Главная!$P$9="гривен.",AQ462,IF(Главная!$P$9="рублей.",AJ462,AQ462)))</f>
        <v>0</v>
      </c>
      <c r="L462" s="162">
        <f>IF(Главная!$P$9="Дол.",AZ462,IF(Главная!$P$9="гривен.",AR462,IF(Главная!$P$9="рублей.",AK462,AR462)))</f>
        <v>0</v>
      </c>
      <c r="M462" s="162">
        <f>IF(Главная!$P$9="Дол.",BA462,IF(Главная!$P$9="гривен.",AS462,IF(Главная!$P$9="рублей.",AL462,AS462)))</f>
        <v>0</v>
      </c>
      <c r="N462" s="162">
        <f>IF(Главная!$P$9="Дол.",BB462,IF(Главная!$P$9="гривен.",AT462,IF(Главная!$P$9="рублей.",AM462,AT462)))</f>
        <v>0</v>
      </c>
      <c r="O462" s="162">
        <f>IF(Главная!$P$9="Дол.",BC462,IF(Главная!$P$9="гривен.",AU462,IF(Главная!$P$9="рублей.",AN462,AU462)))</f>
        <v>0</v>
      </c>
      <c r="P462" s="141">
        <v>2.23</v>
      </c>
      <c r="Q462" s="141">
        <v>2.23</v>
      </c>
    </row>
    <row r="463" spans="1:17" s="140" customFormat="1" ht="12.75" customHeight="1">
      <c r="A463" s="150">
        <f>IF(Главная!$P$9="Дол.",AX463,IF(Главная!$P$9="гривен.",AP463,IF(Главная!$P$9="рублей.",AI463,AP463)))</f>
        <v>0</v>
      </c>
      <c r="B463" s="141">
        <v>2.23</v>
      </c>
      <c r="J463" s="141">
        <v>2.23</v>
      </c>
      <c r="K463" s="162">
        <f>IF(Главная!$P$9="Дол.",AY463,IF(Главная!$P$9="гривен.",AQ463,IF(Главная!$P$9="рублей.",AJ463,AQ463)))</f>
        <v>0</v>
      </c>
      <c r="L463" s="162">
        <f>IF(Главная!$P$9="Дол.",AZ463,IF(Главная!$P$9="гривен.",AR463,IF(Главная!$P$9="рублей.",AK463,AR463)))</f>
        <v>0</v>
      </c>
      <c r="M463" s="162">
        <f>IF(Главная!$P$9="Дол.",BA463,IF(Главная!$P$9="гривен.",AS463,IF(Главная!$P$9="рублей.",AL463,AS463)))</f>
        <v>0</v>
      </c>
      <c r="N463" s="162">
        <f>IF(Главная!$P$9="Дол.",BB463,IF(Главная!$P$9="гривен.",AT463,IF(Главная!$P$9="рублей.",AM463,AT463)))</f>
        <v>0</v>
      </c>
      <c r="O463" s="162">
        <f>IF(Главная!$P$9="Дол.",BC463,IF(Главная!$P$9="гривен.",AU463,IF(Главная!$P$9="рублей.",AN463,AU463)))</f>
        <v>0</v>
      </c>
      <c r="P463" s="141">
        <v>2.23</v>
      </c>
      <c r="Q463" s="141">
        <v>2.23</v>
      </c>
    </row>
    <row r="464" spans="1:17" s="140" customFormat="1" ht="12.75" customHeight="1">
      <c r="A464" s="150">
        <f>IF(Главная!$P$9="Дол.",AX464,IF(Главная!$P$9="гривен.",AP464,IF(Главная!$P$9="рублей.",AI464,AP464)))</f>
        <v>0</v>
      </c>
      <c r="B464" s="141">
        <v>2.12</v>
      </c>
      <c r="J464" s="141">
        <v>2.12</v>
      </c>
      <c r="K464" s="162">
        <f>IF(Главная!$P$9="Дол.",AY464,IF(Главная!$P$9="гривен.",AQ464,IF(Главная!$P$9="рублей.",AJ464,AQ464)))</f>
        <v>0</v>
      </c>
      <c r="L464" s="162">
        <f>IF(Главная!$P$9="Дол.",AZ464,IF(Главная!$P$9="гривен.",AR464,IF(Главная!$P$9="рублей.",AK464,AR464)))</f>
        <v>0</v>
      </c>
      <c r="M464" s="162">
        <f>IF(Главная!$P$9="Дол.",BA464,IF(Главная!$P$9="гривен.",AS464,IF(Главная!$P$9="рублей.",AL464,AS464)))</f>
        <v>0</v>
      </c>
      <c r="N464" s="162">
        <f>IF(Главная!$P$9="Дол.",BB464,IF(Главная!$P$9="гривен.",AT464,IF(Главная!$P$9="рублей.",AM464,AT464)))</f>
        <v>0</v>
      </c>
      <c r="O464" s="162">
        <f>IF(Главная!$P$9="Дол.",BC464,IF(Главная!$P$9="гривен.",AU464,IF(Главная!$P$9="рублей.",AN464,AU464)))</f>
        <v>0</v>
      </c>
      <c r="P464" s="141">
        <v>2.12</v>
      </c>
      <c r="Q464" s="141">
        <v>2.12</v>
      </c>
    </row>
    <row r="465" spans="1:17" s="140" customFormat="1" ht="12.75" customHeight="1">
      <c r="A465" s="150">
        <f>IF(Главная!$P$9="Дол.",AX465,IF(Главная!$P$9="гривен.",AP465,IF(Главная!$P$9="рублей.",AI465,AP465)))</f>
        <v>0</v>
      </c>
      <c r="B465" s="141">
        <v>1.21</v>
      </c>
      <c r="J465" s="141">
        <v>1.21</v>
      </c>
      <c r="K465" s="162">
        <f>IF(Главная!$P$9="Дол.",AY465,IF(Главная!$P$9="гривен.",AQ465,IF(Главная!$P$9="рублей.",AJ465,AQ465)))</f>
        <v>0</v>
      </c>
      <c r="L465" s="162">
        <f>IF(Главная!$P$9="Дол.",AZ465,IF(Главная!$P$9="гривен.",AR465,IF(Главная!$P$9="рублей.",AK465,AR465)))</f>
        <v>0</v>
      </c>
      <c r="M465" s="162">
        <f>IF(Главная!$P$9="Дол.",BA465,IF(Главная!$P$9="гривен.",AS465,IF(Главная!$P$9="рублей.",AL465,AS465)))</f>
        <v>0</v>
      </c>
      <c r="N465" s="162">
        <f>IF(Главная!$P$9="Дол.",BB465,IF(Главная!$P$9="гривен.",AT465,IF(Главная!$P$9="рублей.",AM465,AT465)))</f>
        <v>0</v>
      </c>
      <c r="O465" s="162">
        <f>IF(Главная!$P$9="Дол.",BC465,IF(Главная!$P$9="гривен.",AU465,IF(Главная!$P$9="рублей.",AN465,AU465)))</f>
        <v>0</v>
      </c>
      <c r="P465" s="141">
        <v>1.21</v>
      </c>
      <c r="Q465" s="141">
        <v>1.21</v>
      </c>
    </row>
    <row r="466" spans="1:17" s="140" customFormat="1" ht="12.75" customHeight="1">
      <c r="A466" s="150">
        <f>IF(Главная!$P$9="Дол.",AX466,IF(Главная!$P$9="гривен.",AP466,IF(Главная!$P$9="рублей.",AI466,AP466)))</f>
        <v>0</v>
      </c>
      <c r="B466" s="141">
        <v>1.21</v>
      </c>
      <c r="J466" s="141">
        <v>1.21</v>
      </c>
      <c r="K466" s="162">
        <f>IF(Главная!$P$9="Дол.",AY466,IF(Главная!$P$9="гривен.",AQ466,IF(Главная!$P$9="рублей.",AJ466,AQ466)))</f>
        <v>0</v>
      </c>
      <c r="L466" s="162">
        <f>IF(Главная!$P$9="Дол.",AZ466,IF(Главная!$P$9="гривен.",AR466,IF(Главная!$P$9="рублей.",AK466,AR466)))</f>
        <v>0</v>
      </c>
      <c r="M466" s="162">
        <f>IF(Главная!$P$9="Дол.",BA466,IF(Главная!$P$9="гривен.",AS466,IF(Главная!$P$9="рублей.",AL466,AS466)))</f>
        <v>0</v>
      </c>
      <c r="N466" s="162">
        <f>IF(Главная!$P$9="Дол.",BB466,IF(Главная!$P$9="гривен.",AT466,IF(Главная!$P$9="рублей.",AM466,AT466)))</f>
        <v>0</v>
      </c>
      <c r="O466" s="162">
        <f>IF(Главная!$P$9="Дол.",BC466,IF(Главная!$P$9="гривен.",AU466,IF(Главная!$P$9="рублей.",AN466,AU466)))</f>
        <v>0</v>
      </c>
      <c r="P466" s="141">
        <v>1.21</v>
      </c>
      <c r="Q466" s="141">
        <v>1.21</v>
      </c>
    </row>
    <row r="467" spans="1:17" s="140" customFormat="1" ht="12.75" customHeight="1">
      <c r="A467" s="150">
        <f>IF(Главная!$P$9="Дол.",AX467,IF(Главная!$P$9="гривен.",AP467,IF(Главная!$P$9="рублей.",AI467,AP467)))</f>
        <v>0</v>
      </c>
      <c r="B467" s="141">
        <v>1.21</v>
      </c>
      <c r="J467" s="141">
        <v>1.21</v>
      </c>
      <c r="K467" s="162">
        <f>IF(Главная!$P$9="Дол.",AY467,IF(Главная!$P$9="гривен.",AQ467,IF(Главная!$P$9="рублей.",AJ467,AQ467)))</f>
        <v>0</v>
      </c>
      <c r="L467" s="162">
        <f>IF(Главная!$P$9="Дол.",AZ467,IF(Главная!$P$9="гривен.",AR467,IF(Главная!$P$9="рублей.",AK467,AR467)))</f>
        <v>0</v>
      </c>
      <c r="M467" s="162">
        <f>IF(Главная!$P$9="Дол.",BA467,IF(Главная!$P$9="гривен.",AS467,IF(Главная!$P$9="рублей.",AL467,AS467)))</f>
        <v>0</v>
      </c>
      <c r="N467" s="162">
        <f>IF(Главная!$P$9="Дол.",BB467,IF(Главная!$P$9="гривен.",AT467,IF(Главная!$P$9="рублей.",AM467,AT467)))</f>
        <v>0</v>
      </c>
      <c r="O467" s="162">
        <f>IF(Главная!$P$9="Дол.",BC467,IF(Главная!$P$9="гривен.",AU467,IF(Главная!$P$9="рублей.",AN467,AU467)))</f>
        <v>0</v>
      </c>
      <c r="P467" s="141">
        <v>1.21</v>
      </c>
      <c r="Q467" s="141">
        <v>1.21</v>
      </c>
    </row>
    <row r="468" spans="1:17" s="140" customFormat="1" ht="12.75" customHeight="1">
      <c r="A468" s="150">
        <f>IF(Главная!$P$9="Дол.",AX468,IF(Главная!$P$9="гривен.",AP468,IF(Главная!$P$9="рублей.",AI468,AP468)))</f>
        <v>0</v>
      </c>
      <c r="B468" s="141">
        <v>1.74</v>
      </c>
      <c r="J468" s="141">
        <v>1.74</v>
      </c>
      <c r="K468" s="162">
        <f>IF(Главная!$P$9="Дол.",AY468,IF(Главная!$P$9="гривен.",AQ468,IF(Главная!$P$9="рублей.",AJ468,AQ468)))</f>
        <v>0</v>
      </c>
      <c r="L468" s="162">
        <f>IF(Главная!$P$9="Дол.",AZ468,IF(Главная!$P$9="гривен.",AR468,IF(Главная!$P$9="рублей.",AK468,AR468)))</f>
        <v>0</v>
      </c>
      <c r="M468" s="162">
        <f>IF(Главная!$P$9="Дол.",BA468,IF(Главная!$P$9="гривен.",AS468,IF(Главная!$P$9="рублей.",AL468,AS468)))</f>
        <v>0</v>
      </c>
      <c r="N468" s="162">
        <f>IF(Главная!$P$9="Дол.",BB468,IF(Главная!$P$9="гривен.",AT468,IF(Главная!$P$9="рублей.",AM468,AT468)))</f>
        <v>0</v>
      </c>
      <c r="O468" s="162">
        <f>IF(Главная!$P$9="Дол.",BC468,IF(Главная!$P$9="гривен.",AU468,IF(Главная!$P$9="рублей.",AN468,AU468)))</f>
        <v>0</v>
      </c>
      <c r="P468" s="141">
        <v>1.74</v>
      </c>
      <c r="Q468" s="141">
        <v>1.74</v>
      </c>
    </row>
    <row r="469" spans="1:17" s="140" customFormat="1" ht="12.75" customHeight="1">
      <c r="A469" s="150">
        <f>IF(Главная!$P$9="Дол.",AX469,IF(Главная!$P$9="гривен.",AP469,IF(Главная!$P$9="рублей.",AI469,AP469)))</f>
        <v>0</v>
      </c>
      <c r="B469" s="141">
        <v>2.59</v>
      </c>
      <c r="J469" s="141">
        <v>2.59</v>
      </c>
      <c r="K469" s="162">
        <f>IF(Главная!$P$9="Дол.",AY469,IF(Главная!$P$9="гривен.",AQ469,IF(Главная!$P$9="рублей.",AJ469,AQ469)))</f>
        <v>0</v>
      </c>
      <c r="L469" s="162">
        <f>IF(Главная!$P$9="Дол.",AZ469,IF(Главная!$P$9="гривен.",AR469,IF(Главная!$P$9="рублей.",AK469,AR469)))</f>
        <v>0</v>
      </c>
      <c r="M469" s="162">
        <f>IF(Главная!$P$9="Дол.",BA469,IF(Главная!$P$9="гривен.",AS469,IF(Главная!$P$9="рублей.",AL469,AS469)))</f>
        <v>0</v>
      </c>
      <c r="N469" s="162">
        <f>IF(Главная!$P$9="Дол.",BB469,IF(Главная!$P$9="гривен.",AT469,IF(Главная!$P$9="рублей.",AM469,AT469)))</f>
        <v>0</v>
      </c>
      <c r="O469" s="162">
        <f>IF(Главная!$P$9="Дол.",BC469,IF(Главная!$P$9="гривен.",AU469,IF(Главная!$P$9="рублей.",AN469,AU469)))</f>
        <v>0</v>
      </c>
      <c r="P469" s="141">
        <v>2.59</v>
      </c>
      <c r="Q469" s="141">
        <v>2.59</v>
      </c>
    </row>
    <row r="470" spans="1:17" s="140" customFormat="1" ht="12.75" customHeight="1">
      <c r="A470" s="150">
        <f>IF(Главная!$P$9="Дол.",AX470,IF(Главная!$P$9="гривен.",AP470,IF(Главная!$P$9="рублей.",AI470,AP470)))</f>
        <v>0</v>
      </c>
      <c r="B470" s="141">
        <v>1.74</v>
      </c>
      <c r="J470" s="141">
        <v>1.74</v>
      </c>
      <c r="K470" s="162">
        <f>IF(Главная!$P$9="Дол.",AY470,IF(Главная!$P$9="гривен.",AQ470,IF(Главная!$P$9="рублей.",AJ470,AQ470)))</f>
        <v>0</v>
      </c>
      <c r="L470" s="162">
        <f>IF(Главная!$P$9="Дол.",AZ470,IF(Главная!$P$9="гривен.",AR470,IF(Главная!$P$9="рублей.",AK470,AR470)))</f>
        <v>0</v>
      </c>
      <c r="M470" s="162">
        <f>IF(Главная!$P$9="Дол.",BA470,IF(Главная!$P$9="гривен.",AS470,IF(Главная!$P$9="рублей.",AL470,AS470)))</f>
        <v>0</v>
      </c>
      <c r="N470" s="162">
        <f>IF(Главная!$P$9="Дол.",BB470,IF(Главная!$P$9="гривен.",AT470,IF(Главная!$P$9="рублей.",AM470,AT470)))</f>
        <v>0</v>
      </c>
      <c r="O470" s="162">
        <f>IF(Главная!$P$9="Дол.",BC470,IF(Главная!$P$9="гривен.",AU470,IF(Главная!$P$9="рублей.",AN470,AU470)))</f>
        <v>0</v>
      </c>
      <c r="P470" s="141">
        <v>1.74</v>
      </c>
      <c r="Q470" s="141">
        <v>1.74</v>
      </c>
    </row>
    <row r="471" spans="1:17" s="140" customFormat="1" ht="12.75" customHeight="1">
      <c r="A471" s="150">
        <f>IF(Главная!$P$9="Дол.",AX471,IF(Главная!$P$9="гривен.",AP471,IF(Главная!$P$9="рублей.",AI471,AP471)))</f>
        <v>0</v>
      </c>
      <c r="B471" s="141">
        <v>1.86</v>
      </c>
      <c r="J471" s="141">
        <v>1.86</v>
      </c>
      <c r="K471" s="162">
        <f>IF(Главная!$P$9="Дол.",AY471,IF(Главная!$P$9="гривен.",AQ471,IF(Главная!$P$9="рублей.",AJ471,AQ471)))</f>
        <v>0</v>
      </c>
      <c r="L471" s="162">
        <f>IF(Главная!$P$9="Дол.",AZ471,IF(Главная!$P$9="гривен.",AR471,IF(Главная!$P$9="рублей.",AK471,AR471)))</f>
        <v>0</v>
      </c>
      <c r="M471" s="162">
        <f>IF(Главная!$P$9="Дол.",BA471,IF(Главная!$P$9="гривен.",AS471,IF(Главная!$P$9="рублей.",AL471,AS471)))</f>
        <v>0</v>
      </c>
      <c r="N471" s="162">
        <f>IF(Главная!$P$9="Дол.",BB471,IF(Главная!$P$9="гривен.",AT471,IF(Главная!$P$9="рублей.",AM471,AT471)))</f>
        <v>0</v>
      </c>
      <c r="O471" s="162">
        <f>IF(Главная!$P$9="Дол.",BC471,IF(Главная!$P$9="гривен.",AU471,IF(Главная!$P$9="рублей.",AN471,AU471)))</f>
        <v>0</v>
      </c>
      <c r="P471" s="141">
        <v>1.86</v>
      </c>
      <c r="Q471" s="141">
        <v>1.86</v>
      </c>
    </row>
    <row r="472" spans="1:17" s="140" customFormat="1" ht="12.75" customHeight="1">
      <c r="A472" s="150">
        <f>IF(Главная!$P$9="Дол.",AX472,IF(Главная!$P$9="гривен.",AP472,IF(Главная!$P$9="рублей.",AI472,AP472)))</f>
        <v>0</v>
      </c>
      <c r="B472" s="141">
        <v>2.12</v>
      </c>
      <c r="J472" s="141">
        <v>2.12</v>
      </c>
      <c r="K472" s="162">
        <f>IF(Главная!$P$9="Дол.",AY472,IF(Главная!$P$9="гривен.",AQ472,IF(Главная!$P$9="рублей.",AJ472,AQ472)))</f>
        <v>0</v>
      </c>
      <c r="L472" s="162">
        <f>IF(Главная!$P$9="Дол.",AZ472,IF(Главная!$P$9="гривен.",AR472,IF(Главная!$P$9="рублей.",AK472,AR472)))</f>
        <v>0</v>
      </c>
      <c r="M472" s="162">
        <f>IF(Главная!$P$9="Дол.",BA472,IF(Главная!$P$9="гривен.",AS472,IF(Главная!$P$9="рублей.",AL472,AS472)))</f>
        <v>0</v>
      </c>
      <c r="N472" s="162">
        <f>IF(Главная!$P$9="Дол.",BB472,IF(Главная!$P$9="гривен.",AT472,IF(Главная!$P$9="рублей.",AM472,AT472)))</f>
        <v>0</v>
      </c>
      <c r="O472" s="162">
        <f>IF(Главная!$P$9="Дол.",BC472,IF(Главная!$P$9="гривен.",AU472,IF(Главная!$P$9="рублей.",AN472,AU472)))</f>
        <v>0</v>
      </c>
      <c r="P472" s="141">
        <v>2.12</v>
      </c>
      <c r="Q472" s="141">
        <v>2.12</v>
      </c>
    </row>
    <row r="473" spans="1:17" s="140" customFormat="1" ht="12.75" customHeight="1">
      <c r="A473" s="150">
        <f>IF(Главная!$P$9="Дол.",AX473,IF(Главная!$P$9="гривен.",AP473,IF(Главная!$P$9="рублей.",AI473,AP473)))</f>
        <v>0</v>
      </c>
      <c r="B473" s="141">
        <v>1.74</v>
      </c>
      <c r="J473" s="141">
        <v>1.74</v>
      </c>
      <c r="K473" s="162">
        <f>IF(Главная!$P$9="Дол.",AY473,IF(Главная!$P$9="гривен.",AQ473,IF(Главная!$P$9="рублей.",AJ473,AQ473)))</f>
        <v>0</v>
      </c>
      <c r="L473" s="162">
        <f>IF(Главная!$P$9="Дол.",AZ473,IF(Главная!$P$9="гривен.",AR473,IF(Главная!$P$9="рублей.",AK473,AR473)))</f>
        <v>0</v>
      </c>
      <c r="M473" s="162">
        <f>IF(Главная!$P$9="Дол.",BA473,IF(Главная!$P$9="гривен.",AS473,IF(Главная!$P$9="рублей.",AL473,AS473)))</f>
        <v>0</v>
      </c>
      <c r="N473" s="162">
        <f>IF(Главная!$P$9="Дол.",BB473,IF(Главная!$P$9="гривен.",AT473,IF(Главная!$P$9="рублей.",AM473,AT473)))</f>
        <v>0</v>
      </c>
      <c r="O473" s="162">
        <f>IF(Главная!$P$9="Дол.",BC473,IF(Главная!$P$9="гривен.",AU473,IF(Главная!$P$9="рублей.",AN473,AU473)))</f>
        <v>0</v>
      </c>
      <c r="P473" s="141">
        <v>1.74</v>
      </c>
      <c r="Q473" s="141">
        <v>1.74</v>
      </c>
    </row>
    <row r="474" spans="1:17" s="140" customFormat="1" ht="12.75" customHeight="1">
      <c r="A474" s="150">
        <f>IF(Главная!$P$9="Дол.",AX474,IF(Главная!$P$9="гривен.",AP474,IF(Главная!$P$9="рублей.",AI474,AP474)))</f>
        <v>0</v>
      </c>
      <c r="B474" s="141">
        <v>12</v>
      </c>
      <c r="J474" s="141">
        <v>12</v>
      </c>
      <c r="K474" s="162">
        <f>IF(Главная!$P$9="Дол.",AY474,IF(Главная!$P$9="гривен.",AQ474,IF(Главная!$P$9="рублей.",AJ474,AQ474)))</f>
        <v>0</v>
      </c>
      <c r="L474" s="162">
        <f>IF(Главная!$P$9="Дол.",AZ474,IF(Главная!$P$9="гривен.",AR474,IF(Главная!$P$9="рублей.",AK474,AR474)))</f>
        <v>0</v>
      </c>
      <c r="M474" s="162">
        <f>IF(Главная!$P$9="Дол.",BA474,IF(Главная!$P$9="гривен.",AS474,IF(Главная!$P$9="рублей.",AL474,AS474)))</f>
        <v>0</v>
      </c>
      <c r="N474" s="162">
        <f>IF(Главная!$P$9="Дол.",BB474,IF(Главная!$P$9="гривен.",AT474,IF(Главная!$P$9="рублей.",AM474,AT474)))</f>
        <v>0</v>
      </c>
      <c r="O474" s="162">
        <f>IF(Главная!$P$9="Дол.",BC474,IF(Главная!$P$9="гривен.",AU474,IF(Главная!$P$9="рублей.",AN474,AU474)))</f>
        <v>0</v>
      </c>
      <c r="P474" s="141">
        <v>12</v>
      </c>
      <c r="Q474" s="141">
        <v>12</v>
      </c>
    </row>
    <row r="475" spans="1:17" s="140" customFormat="1" ht="12.75" customHeight="1">
      <c r="A475" s="150">
        <f>IF(Главная!$P$9="Дол.",AX475,IF(Главная!$P$9="гривен.",AP475,IF(Главная!$P$9="рублей.",AI475,AP475)))</f>
        <v>0</v>
      </c>
      <c r="B475" s="141">
        <v>2.23</v>
      </c>
      <c r="J475" s="141">
        <v>2.23</v>
      </c>
      <c r="K475" s="162">
        <f>IF(Главная!$P$9="Дол.",AY475,IF(Главная!$P$9="гривен.",AQ475,IF(Главная!$P$9="рублей.",AJ475,AQ475)))</f>
        <v>0</v>
      </c>
      <c r="L475" s="162">
        <f>IF(Главная!$P$9="Дол.",AZ475,IF(Главная!$P$9="гривен.",AR475,IF(Главная!$P$9="рублей.",AK475,AR475)))</f>
        <v>0</v>
      </c>
      <c r="M475" s="162">
        <f>IF(Главная!$P$9="Дол.",BA475,IF(Главная!$P$9="гривен.",AS475,IF(Главная!$P$9="рублей.",AL475,AS475)))</f>
        <v>0</v>
      </c>
      <c r="N475" s="162">
        <f>IF(Главная!$P$9="Дол.",BB475,IF(Главная!$P$9="гривен.",AT475,IF(Главная!$P$9="рублей.",AM475,AT475)))</f>
        <v>0</v>
      </c>
      <c r="O475" s="162">
        <f>IF(Главная!$P$9="Дол.",BC475,IF(Главная!$P$9="гривен.",AU475,IF(Главная!$P$9="рублей.",AN475,AU475)))</f>
        <v>0</v>
      </c>
      <c r="P475" s="141">
        <v>2.23</v>
      </c>
      <c r="Q475" s="141">
        <v>2.23</v>
      </c>
    </row>
    <row r="476" spans="1:17" s="140" customFormat="1" ht="12.75" customHeight="1">
      <c r="A476" s="150">
        <f>IF(Главная!$P$9="Дол.",AX476,IF(Главная!$P$9="гривен.",AP476,IF(Главная!$P$9="рублей.",AI476,AP476)))</f>
        <v>0</v>
      </c>
      <c r="B476" s="141">
        <v>2.59</v>
      </c>
      <c r="J476" s="141">
        <v>2.59</v>
      </c>
      <c r="K476" s="162">
        <f>IF(Главная!$P$9="Дол.",AY476,IF(Главная!$P$9="гривен.",AQ476,IF(Главная!$P$9="рублей.",AJ476,AQ476)))</f>
        <v>0</v>
      </c>
      <c r="L476" s="162">
        <f>IF(Главная!$P$9="Дол.",AZ476,IF(Главная!$P$9="гривен.",AR476,IF(Главная!$P$9="рублей.",AK476,AR476)))</f>
        <v>0</v>
      </c>
      <c r="M476" s="162">
        <f>IF(Главная!$P$9="Дол.",BA476,IF(Главная!$P$9="гривен.",AS476,IF(Главная!$P$9="рублей.",AL476,AS476)))</f>
        <v>0</v>
      </c>
      <c r="N476" s="162">
        <f>IF(Главная!$P$9="Дол.",BB476,IF(Главная!$P$9="гривен.",AT476,IF(Главная!$P$9="рублей.",AM476,AT476)))</f>
        <v>0</v>
      </c>
      <c r="O476" s="162">
        <f>IF(Главная!$P$9="Дол.",BC476,IF(Главная!$P$9="гривен.",AU476,IF(Главная!$P$9="рублей.",AN476,AU476)))</f>
        <v>0</v>
      </c>
      <c r="P476" s="141">
        <v>2.59</v>
      </c>
      <c r="Q476" s="141">
        <v>2.59</v>
      </c>
    </row>
    <row r="477" spans="1:17" s="140" customFormat="1" ht="12.75" customHeight="1">
      <c r="A477" s="150">
        <f>IF(Главная!$P$9="Дол.",AX477,IF(Главная!$P$9="гривен.",AP477,IF(Главная!$P$9="рублей.",AI477,AP477)))</f>
        <v>0</v>
      </c>
      <c r="B477" s="143">
        <v>1.86</v>
      </c>
      <c r="J477" s="143">
        <v>1.86</v>
      </c>
      <c r="K477" s="162">
        <f>IF(Главная!$P$9="Дол.",AY477,IF(Главная!$P$9="гривен.",AQ477,IF(Главная!$P$9="рублей.",AJ477,AQ477)))</f>
        <v>0</v>
      </c>
      <c r="L477" s="162">
        <f>IF(Главная!$P$9="Дол.",AZ477,IF(Главная!$P$9="гривен.",AR477,IF(Главная!$P$9="рублей.",AK477,AR477)))</f>
        <v>0</v>
      </c>
      <c r="M477" s="162">
        <f>IF(Главная!$P$9="Дол.",BA477,IF(Главная!$P$9="гривен.",AS477,IF(Главная!$P$9="рублей.",AL477,AS477)))</f>
        <v>0</v>
      </c>
      <c r="N477" s="162">
        <f>IF(Главная!$P$9="Дол.",BB477,IF(Главная!$P$9="гривен.",AT477,IF(Главная!$P$9="рублей.",AM477,AT477)))</f>
        <v>0</v>
      </c>
      <c r="O477" s="162">
        <f>IF(Главная!$P$9="Дол.",BC477,IF(Главная!$P$9="гривен.",AU477,IF(Главная!$P$9="рублей.",AN477,AU477)))</f>
        <v>0</v>
      </c>
      <c r="P477" s="143">
        <v>1.86</v>
      </c>
      <c r="Q477" s="143">
        <v>1.86</v>
      </c>
    </row>
    <row r="478" spans="1:17" s="140" customFormat="1" ht="12.75" customHeight="1">
      <c r="A478" s="150">
        <f>IF(Главная!$P$9="Дол.",AX478,IF(Главная!$P$9="гривен.",AP478,IF(Главная!$P$9="рублей.",AI478,AP478)))</f>
        <v>0</v>
      </c>
      <c r="B478" s="141">
        <v>2.59</v>
      </c>
      <c r="J478" s="141">
        <v>2.59</v>
      </c>
      <c r="K478" s="162">
        <f>IF(Главная!$P$9="Дол.",AY478,IF(Главная!$P$9="гривен.",AQ478,IF(Главная!$P$9="рублей.",AJ478,AQ478)))</f>
        <v>0</v>
      </c>
      <c r="L478" s="162">
        <f>IF(Главная!$P$9="Дол.",AZ478,IF(Главная!$P$9="гривен.",AR478,IF(Главная!$P$9="рублей.",AK478,AR478)))</f>
        <v>0</v>
      </c>
      <c r="M478" s="162">
        <f>IF(Главная!$P$9="Дол.",BA478,IF(Главная!$P$9="гривен.",AS478,IF(Главная!$P$9="рублей.",AL478,AS478)))</f>
        <v>0</v>
      </c>
      <c r="N478" s="162">
        <f>IF(Главная!$P$9="Дол.",BB478,IF(Главная!$P$9="гривен.",AT478,IF(Главная!$P$9="рублей.",AM478,AT478)))</f>
        <v>0</v>
      </c>
      <c r="O478" s="162">
        <f>IF(Главная!$P$9="Дол.",BC478,IF(Главная!$P$9="гривен.",AU478,IF(Главная!$P$9="рублей.",AN478,AU478)))</f>
        <v>0</v>
      </c>
      <c r="P478" s="141">
        <v>2.59</v>
      </c>
      <c r="Q478" s="141">
        <v>2.59</v>
      </c>
    </row>
    <row r="479" spans="1:17" ht="12.75" customHeight="1">
      <c r="N479" s="140"/>
    </row>
    <row r="480" spans="1:17" ht="12.75" customHeight="1">
      <c r="N480" s="140"/>
    </row>
    <row r="481" spans="14:14" ht="12.75" customHeight="1">
      <c r="N481" s="140"/>
    </row>
    <row r="482" spans="14:14" ht="12.75" customHeight="1">
      <c r="N482" s="140"/>
    </row>
    <row r="483" spans="14:14" ht="12.75" customHeight="1">
      <c r="N483" s="140"/>
    </row>
    <row r="484" spans="14:14" ht="12.75" customHeight="1">
      <c r="N484" s="140"/>
    </row>
    <row r="485" spans="14:14" ht="12.75" customHeight="1">
      <c r="N485" s="140"/>
    </row>
    <row r="486" spans="14:14" ht="12.75" customHeight="1">
      <c r="N486" s="140"/>
    </row>
    <row r="487" spans="14:14" ht="12.75" customHeight="1">
      <c r="N487" s="140"/>
    </row>
    <row r="488" spans="14:14" ht="12.75" customHeight="1">
      <c r="N488" s="140"/>
    </row>
    <row r="489" spans="14:14" ht="12.75" customHeight="1">
      <c r="N489" s="140"/>
    </row>
    <row r="490" spans="14:14" ht="12.75" customHeight="1">
      <c r="N490" s="140"/>
    </row>
    <row r="491" spans="14:14" ht="12.75" customHeight="1">
      <c r="N491" s="140"/>
    </row>
    <row r="492" spans="14:14" ht="12.75" customHeight="1">
      <c r="N492" s="140"/>
    </row>
    <row r="493" spans="14:14" ht="12.75" customHeight="1">
      <c r="N493" s="140"/>
    </row>
    <row r="494" spans="14:14" ht="12.75" customHeight="1">
      <c r="N494" s="140"/>
    </row>
    <row r="495" spans="14:14" ht="12.75" customHeight="1">
      <c r="N495" s="140"/>
    </row>
    <row r="496" spans="14:14" ht="12.75" customHeight="1">
      <c r="N496" s="140"/>
    </row>
    <row r="497" spans="14:14" ht="12.75" customHeight="1">
      <c r="N497" s="140"/>
    </row>
    <row r="498" spans="14:14" ht="12.75" customHeight="1">
      <c r="N498" s="140"/>
    </row>
    <row r="499" spans="14:14" ht="12.75" customHeight="1">
      <c r="N499" s="140"/>
    </row>
    <row r="500" spans="14:14" ht="12.75" customHeight="1">
      <c r="N500" s="140"/>
    </row>
    <row r="501" spans="14:14" ht="12.75" customHeight="1">
      <c r="N501" s="140"/>
    </row>
    <row r="502" spans="14:14" ht="12.75" customHeight="1">
      <c r="N502" s="140"/>
    </row>
    <row r="503" spans="14:14" ht="12.75" customHeight="1">
      <c r="N503" s="140"/>
    </row>
    <row r="504" spans="14:14" ht="12.75" customHeight="1">
      <c r="N504" s="140"/>
    </row>
    <row r="505" spans="14:14" ht="12.75" customHeight="1">
      <c r="N505" s="140"/>
    </row>
    <row r="506" spans="14:14" ht="12.75" customHeight="1">
      <c r="N506" s="140"/>
    </row>
    <row r="507" spans="14:14" ht="12.75" customHeight="1">
      <c r="N507" s="140"/>
    </row>
    <row r="508" spans="14:14" ht="12.75" customHeight="1">
      <c r="N508" s="140"/>
    </row>
    <row r="509" spans="14:14" ht="12.75" customHeight="1">
      <c r="N509" s="140"/>
    </row>
    <row r="510" spans="14:14" ht="12.75" customHeight="1">
      <c r="N510" s="140"/>
    </row>
    <row r="511" spans="14:14" ht="12.75" customHeight="1">
      <c r="N511" s="140"/>
    </row>
    <row r="512" spans="14:14" ht="12.75" customHeight="1">
      <c r="N512" s="140"/>
    </row>
    <row r="513" spans="14:14" ht="12.75" customHeight="1">
      <c r="N513" s="140"/>
    </row>
    <row r="514" spans="14:14" ht="12.75" customHeight="1">
      <c r="N514" s="140"/>
    </row>
    <row r="515" spans="14:14" ht="12.75" customHeight="1">
      <c r="N515" s="140"/>
    </row>
    <row r="516" spans="14:14" ht="12.75" customHeight="1">
      <c r="N516" s="140"/>
    </row>
    <row r="517" spans="14:14" ht="12.75" customHeight="1">
      <c r="N517" s="140"/>
    </row>
    <row r="518" spans="14:14" ht="12.75" customHeight="1">
      <c r="N518" s="140"/>
    </row>
    <row r="519" spans="14:14" ht="12.75" customHeight="1">
      <c r="N519" s="140"/>
    </row>
    <row r="520" spans="14:14" ht="12.75" customHeight="1">
      <c r="N520" s="140"/>
    </row>
    <row r="521" spans="14:14" ht="12.75" customHeight="1">
      <c r="N521" s="140"/>
    </row>
    <row r="522" spans="14:14" ht="12.75" customHeight="1">
      <c r="N522" s="140"/>
    </row>
    <row r="523" spans="14:14" ht="12.75" customHeight="1">
      <c r="N523" s="140"/>
    </row>
    <row r="524" spans="14:14" ht="12.75" customHeight="1">
      <c r="N524" s="140"/>
    </row>
    <row r="525" spans="14:14" ht="12.75" customHeight="1">
      <c r="N525" s="140"/>
    </row>
    <row r="526" spans="14:14" ht="12.75" customHeight="1">
      <c r="N526" s="140"/>
    </row>
    <row r="527" spans="14:14" ht="12.75" customHeight="1">
      <c r="N527" s="140"/>
    </row>
    <row r="528" spans="14:14" ht="12.75" customHeight="1">
      <c r="N528" s="140"/>
    </row>
    <row r="529" spans="14:14" ht="12.75" customHeight="1">
      <c r="N529" s="140"/>
    </row>
    <row r="530" spans="14:14" ht="12.75" customHeight="1">
      <c r="N530" s="140"/>
    </row>
    <row r="531" spans="14:14" ht="12.75" customHeight="1">
      <c r="N531" s="140"/>
    </row>
    <row r="532" spans="14:14" ht="12.75" customHeight="1">
      <c r="N532" s="140"/>
    </row>
    <row r="533" spans="14:14" ht="12.75" customHeight="1">
      <c r="N533" s="140"/>
    </row>
    <row r="534" spans="14:14" ht="12.75" customHeight="1">
      <c r="N534" s="140"/>
    </row>
    <row r="535" spans="14:14" ht="12.75" customHeight="1">
      <c r="N535" s="140"/>
    </row>
    <row r="536" spans="14:14" ht="12.75" customHeight="1">
      <c r="N536" s="140"/>
    </row>
    <row r="537" spans="14:14" ht="12.75" customHeight="1">
      <c r="N537" s="140"/>
    </row>
    <row r="538" spans="14:14" ht="12.75" customHeight="1">
      <c r="N538" s="140"/>
    </row>
    <row r="539" spans="14:14" ht="12.75" customHeight="1">
      <c r="N539" s="140"/>
    </row>
    <row r="540" spans="14:14" ht="12.75" customHeight="1">
      <c r="N540" s="140"/>
    </row>
    <row r="541" spans="14:14" ht="12.75" customHeight="1">
      <c r="N541" s="140"/>
    </row>
    <row r="542" spans="14:14" ht="12.75" customHeight="1">
      <c r="N542" s="140"/>
    </row>
    <row r="543" spans="14:14" ht="12.75" customHeight="1">
      <c r="N543" s="140"/>
    </row>
    <row r="544" spans="14:14" ht="12.75" customHeight="1">
      <c r="N544" s="140"/>
    </row>
    <row r="545" spans="14:14" ht="12.75" customHeight="1">
      <c r="N545" s="140"/>
    </row>
    <row r="546" spans="14:14" ht="12.75" customHeight="1">
      <c r="N546" s="140"/>
    </row>
    <row r="547" spans="14:14" ht="12.75" customHeight="1">
      <c r="N547" s="140"/>
    </row>
    <row r="548" spans="14:14" ht="12.75" customHeight="1">
      <c r="N548" s="140"/>
    </row>
    <row r="549" spans="14:14" ht="12.75" customHeight="1">
      <c r="N549" s="140"/>
    </row>
    <row r="550" spans="14:14" ht="12.75" customHeight="1">
      <c r="N550" s="140"/>
    </row>
    <row r="551" spans="14:14" ht="12.75" customHeight="1">
      <c r="N551" s="140"/>
    </row>
    <row r="552" spans="14:14" ht="12.75" customHeight="1">
      <c r="N552" s="140"/>
    </row>
    <row r="553" spans="14:14" ht="12.75" customHeight="1">
      <c r="N553" s="140"/>
    </row>
    <row r="554" spans="14:14" ht="12.75" customHeight="1">
      <c r="N554" s="140"/>
    </row>
    <row r="555" spans="14:14" ht="12.75" customHeight="1">
      <c r="N555" s="140"/>
    </row>
    <row r="556" spans="14:14" ht="12.75" customHeight="1">
      <c r="N556" s="140"/>
    </row>
    <row r="557" spans="14:14" ht="12.75" customHeight="1">
      <c r="N557" s="140"/>
    </row>
    <row r="558" spans="14:14" ht="12.75" customHeight="1">
      <c r="N558" s="140"/>
    </row>
    <row r="559" spans="14:14" ht="12.75" customHeight="1">
      <c r="N559" s="140"/>
    </row>
    <row r="560" spans="14:14" ht="12.75" customHeight="1">
      <c r="N560" s="140"/>
    </row>
    <row r="561" spans="14:14" ht="12.75" customHeight="1">
      <c r="N561" s="140"/>
    </row>
    <row r="562" spans="14:14" ht="12.75" customHeight="1">
      <c r="N562" s="140"/>
    </row>
    <row r="563" spans="14:14" ht="12.75" customHeight="1">
      <c r="N563" s="140"/>
    </row>
    <row r="564" spans="14:14" ht="12.75" customHeight="1">
      <c r="N564" s="140"/>
    </row>
    <row r="565" spans="14:14" ht="12.75" customHeight="1">
      <c r="N565" s="140"/>
    </row>
    <row r="566" spans="14:14" ht="12.75" customHeight="1">
      <c r="N566" s="140"/>
    </row>
    <row r="567" spans="14:14" ht="12.75" customHeight="1">
      <c r="N567" s="140"/>
    </row>
    <row r="568" spans="14:14" ht="12.75" customHeight="1">
      <c r="N568" s="140"/>
    </row>
    <row r="569" spans="14:14" ht="12.75" customHeight="1">
      <c r="N569" s="140"/>
    </row>
    <row r="570" spans="14:14" ht="12.75" customHeight="1">
      <c r="N570" s="140"/>
    </row>
    <row r="571" spans="14:14" ht="12.75" customHeight="1">
      <c r="N571" s="140"/>
    </row>
    <row r="572" spans="14:14" ht="12.75" customHeight="1">
      <c r="N572" s="140"/>
    </row>
    <row r="573" spans="14:14" ht="12.75" customHeight="1">
      <c r="N573" s="140"/>
    </row>
    <row r="574" spans="14:14" ht="12.75" customHeight="1">
      <c r="N574" s="140"/>
    </row>
    <row r="575" spans="14:14" ht="12.75" customHeight="1">
      <c r="N575" s="140"/>
    </row>
    <row r="576" spans="14:14" ht="12.75" customHeight="1">
      <c r="N576" s="140"/>
    </row>
    <row r="577" spans="14:14" ht="12.75" customHeight="1">
      <c r="N577" s="140"/>
    </row>
    <row r="578" spans="14:14" ht="12.75" customHeight="1">
      <c r="N578" s="140"/>
    </row>
    <row r="579" spans="14:14" ht="12.75" customHeight="1">
      <c r="N579" s="140"/>
    </row>
    <row r="580" spans="14:14" ht="12.75" customHeight="1">
      <c r="N580" s="140"/>
    </row>
    <row r="581" spans="14:14" ht="12.75" customHeight="1">
      <c r="N581" s="140"/>
    </row>
    <row r="582" spans="14:14" ht="12.75" customHeight="1">
      <c r="N582" s="140"/>
    </row>
    <row r="583" spans="14:14" ht="12.75" customHeight="1">
      <c r="N583" s="140"/>
    </row>
    <row r="584" spans="14:14" ht="12.75" customHeight="1">
      <c r="N584" s="140"/>
    </row>
    <row r="585" spans="14:14" ht="12.75" customHeight="1">
      <c r="N585" s="140"/>
    </row>
    <row r="586" spans="14:14" ht="12.75" customHeight="1">
      <c r="N586" s="140"/>
    </row>
    <row r="587" spans="14:14" ht="12.75" customHeight="1">
      <c r="N587" s="140"/>
    </row>
    <row r="588" spans="14:14" ht="12.75" customHeight="1">
      <c r="N588" s="140"/>
    </row>
    <row r="589" spans="14:14" ht="12.75" customHeight="1">
      <c r="N589" s="140"/>
    </row>
    <row r="590" spans="14:14" ht="12.75" customHeight="1">
      <c r="N590" s="140"/>
    </row>
    <row r="591" spans="14:14" ht="12.75" customHeight="1">
      <c r="N591" s="140"/>
    </row>
    <row r="592" spans="14:14" ht="12.75" customHeight="1">
      <c r="N592" s="140"/>
    </row>
    <row r="593" spans="14:14" ht="12.75" customHeight="1">
      <c r="N593" s="140"/>
    </row>
    <row r="594" spans="14:14" ht="12.75" customHeight="1">
      <c r="N594" s="140"/>
    </row>
    <row r="595" spans="14:14" ht="12.75" customHeight="1">
      <c r="N595" s="140"/>
    </row>
    <row r="596" spans="14:14" ht="12.75" customHeight="1">
      <c r="N596" s="140"/>
    </row>
    <row r="597" spans="14:14" ht="12.75" customHeight="1">
      <c r="N597" s="140"/>
    </row>
    <row r="598" spans="14:14" ht="12.75" customHeight="1">
      <c r="N598" s="140"/>
    </row>
    <row r="599" spans="14:14" ht="12.75" customHeight="1">
      <c r="N599" s="140"/>
    </row>
    <row r="600" spans="14:14" ht="12.75" customHeight="1">
      <c r="N600" s="140"/>
    </row>
    <row r="601" spans="14:14" ht="12.75" customHeight="1">
      <c r="N601" s="140"/>
    </row>
    <row r="602" spans="14:14" ht="12.75" customHeight="1">
      <c r="N602" s="140"/>
    </row>
    <row r="603" spans="14:14" ht="12.75" customHeight="1">
      <c r="N603" s="140"/>
    </row>
    <row r="604" spans="14:14" ht="12.75" customHeight="1">
      <c r="N604" s="140"/>
    </row>
    <row r="605" spans="14:14" ht="12.75" customHeight="1">
      <c r="N605" s="140"/>
    </row>
    <row r="606" spans="14:14" ht="12.75" customHeight="1">
      <c r="N606" s="140"/>
    </row>
    <row r="607" spans="14:14" ht="12.75" customHeight="1">
      <c r="N607" s="140"/>
    </row>
    <row r="608" spans="14:14" ht="12.75" customHeight="1">
      <c r="N608" s="140"/>
    </row>
    <row r="609" spans="14:14" ht="12.75" customHeight="1">
      <c r="N609" s="140"/>
    </row>
    <row r="610" spans="14:14" ht="12.75" customHeight="1">
      <c r="N610" s="140"/>
    </row>
    <row r="611" spans="14:14" ht="12.75" customHeight="1">
      <c r="N611" s="140"/>
    </row>
    <row r="612" spans="14:14" ht="12.75" customHeight="1">
      <c r="N612" s="140"/>
    </row>
    <row r="613" spans="14:14" ht="12.75" customHeight="1">
      <c r="N613" s="140"/>
    </row>
    <row r="614" spans="14:14" ht="12.75" customHeight="1">
      <c r="N614" s="140"/>
    </row>
    <row r="615" spans="14:14" ht="12.75" customHeight="1">
      <c r="N615" s="140"/>
    </row>
    <row r="616" spans="14:14" ht="12.75" customHeight="1">
      <c r="N616" s="140"/>
    </row>
    <row r="617" spans="14:14" ht="12.75" customHeight="1">
      <c r="N617" s="140"/>
    </row>
    <row r="618" spans="14:14" ht="12.75" customHeight="1">
      <c r="N618" s="140"/>
    </row>
    <row r="619" spans="14:14" ht="12.75" customHeight="1">
      <c r="N619" s="140"/>
    </row>
    <row r="620" spans="14:14" ht="12.75" customHeight="1">
      <c r="N620" s="140"/>
    </row>
    <row r="621" spans="14:14" ht="12.75" customHeight="1">
      <c r="N621" s="140"/>
    </row>
    <row r="622" spans="14:14" ht="12.75" customHeight="1">
      <c r="N622" s="140"/>
    </row>
    <row r="623" spans="14:14" ht="12.75" customHeight="1">
      <c r="N623" s="140"/>
    </row>
    <row r="624" spans="14:14" ht="12.75" customHeight="1">
      <c r="N624" s="140"/>
    </row>
    <row r="625" spans="14:14" ht="12.75" customHeight="1">
      <c r="N625" s="140"/>
    </row>
    <row r="626" spans="14:14" ht="12.75" customHeight="1">
      <c r="N626" s="140"/>
    </row>
    <row r="627" spans="14:14" ht="12.75" customHeight="1">
      <c r="N627" s="140"/>
    </row>
    <row r="628" spans="14:14" ht="12.75" customHeight="1">
      <c r="N628" s="140"/>
    </row>
    <row r="629" spans="14:14" ht="12.75" customHeight="1">
      <c r="N629" s="140"/>
    </row>
    <row r="630" spans="14:14" ht="12.75" customHeight="1">
      <c r="N630" s="140"/>
    </row>
    <row r="631" spans="14:14" ht="12.75" customHeight="1">
      <c r="N631" s="140"/>
    </row>
    <row r="632" spans="14:14" ht="12.75" customHeight="1">
      <c r="N632" s="140"/>
    </row>
    <row r="633" spans="14:14" ht="12.75" customHeight="1">
      <c r="N633" s="140"/>
    </row>
    <row r="634" spans="14:14" ht="12.75" customHeight="1">
      <c r="N634" s="140"/>
    </row>
    <row r="635" spans="14:14" ht="12.75" customHeight="1">
      <c r="N635" s="140"/>
    </row>
    <row r="636" spans="14:14" ht="12.75" customHeight="1">
      <c r="N636" s="140"/>
    </row>
    <row r="637" spans="14:14" ht="12.75" customHeight="1">
      <c r="N637" s="140"/>
    </row>
    <row r="638" spans="14:14" ht="12.75" customHeight="1">
      <c r="N638" s="140"/>
    </row>
    <row r="639" spans="14:14" ht="12.75" customHeight="1">
      <c r="N639" s="140"/>
    </row>
    <row r="640" spans="14:14" ht="12.75" customHeight="1">
      <c r="N640" s="140"/>
    </row>
    <row r="641" spans="14:14" ht="12.75" customHeight="1">
      <c r="N641" s="140"/>
    </row>
    <row r="642" spans="14:14" ht="12.75" customHeight="1">
      <c r="N642" s="140"/>
    </row>
    <row r="643" spans="14:14" ht="12.75" customHeight="1">
      <c r="N643" s="140"/>
    </row>
    <row r="644" spans="14:14" ht="12.75" customHeight="1">
      <c r="N644" s="140"/>
    </row>
    <row r="645" spans="14:14" ht="12.75" customHeight="1">
      <c r="N645" s="140"/>
    </row>
    <row r="646" spans="14:14" ht="12.75" customHeight="1">
      <c r="N646" s="140"/>
    </row>
    <row r="647" spans="14:14" ht="12.75" customHeight="1">
      <c r="N647" s="140"/>
    </row>
    <row r="648" spans="14:14" ht="12.75" customHeight="1">
      <c r="N648" s="140"/>
    </row>
    <row r="649" spans="14:14" ht="12.75" customHeight="1">
      <c r="N649" s="140"/>
    </row>
    <row r="650" spans="14:14" ht="12.75" customHeight="1">
      <c r="N650" s="140"/>
    </row>
    <row r="651" spans="14:14" ht="12.75" customHeight="1">
      <c r="N651" s="140"/>
    </row>
    <row r="652" spans="14:14" ht="12.75" customHeight="1">
      <c r="N652" s="140"/>
    </row>
    <row r="653" spans="14:14" ht="12.75" customHeight="1">
      <c r="N653" s="140"/>
    </row>
    <row r="654" spans="14:14" ht="12.75" customHeight="1">
      <c r="N654" s="140"/>
    </row>
    <row r="655" spans="14:14" ht="12.75" customHeight="1">
      <c r="N655" s="140"/>
    </row>
    <row r="656" spans="14:14" ht="12.75" customHeight="1">
      <c r="N656" s="140"/>
    </row>
    <row r="657" spans="14:14" ht="12.75" customHeight="1">
      <c r="N657" s="140"/>
    </row>
    <row r="658" spans="14:14" ht="12.75" customHeight="1">
      <c r="N658" s="140"/>
    </row>
    <row r="659" spans="14:14" ht="12.75" customHeight="1">
      <c r="N659" s="140"/>
    </row>
    <row r="660" spans="14:14" ht="12.75" customHeight="1">
      <c r="N660" s="140"/>
    </row>
    <row r="661" spans="14:14" ht="12.75" customHeight="1">
      <c r="N661" s="140"/>
    </row>
    <row r="662" spans="14:14" ht="12.75" customHeight="1">
      <c r="N662" s="140"/>
    </row>
    <row r="663" spans="14:14" ht="12.75" customHeight="1">
      <c r="N663" s="140"/>
    </row>
    <row r="664" spans="14:14" ht="12.75" customHeight="1">
      <c r="N664" s="140"/>
    </row>
    <row r="665" spans="14:14" ht="12.75" customHeight="1">
      <c r="N665" s="140"/>
    </row>
    <row r="666" spans="14:14" ht="12.75" customHeight="1">
      <c r="N666" s="140"/>
    </row>
    <row r="667" spans="14:14" ht="12.75" customHeight="1">
      <c r="N667" s="140"/>
    </row>
    <row r="668" spans="14:14" ht="12.75" customHeight="1">
      <c r="N668" s="140"/>
    </row>
    <row r="669" spans="14:14" ht="12.75" customHeight="1">
      <c r="N669" s="140"/>
    </row>
    <row r="670" spans="14:14" ht="12.75" customHeight="1">
      <c r="N670" s="140"/>
    </row>
    <row r="671" spans="14:14" ht="12.75" customHeight="1">
      <c r="N671" s="140"/>
    </row>
    <row r="672" spans="14:14" ht="12.75" customHeight="1">
      <c r="N672" s="140"/>
    </row>
    <row r="673" spans="14:14" ht="12.75" customHeight="1">
      <c r="N673" s="140"/>
    </row>
    <row r="674" spans="14:14" ht="12.75" customHeight="1">
      <c r="N674" s="140"/>
    </row>
    <row r="675" spans="14:14" ht="12.75" customHeight="1">
      <c r="N675" s="140"/>
    </row>
    <row r="676" spans="14:14" ht="12.75" customHeight="1">
      <c r="N676" s="140"/>
    </row>
    <row r="677" spans="14:14" ht="12.75" customHeight="1">
      <c r="N677" s="140"/>
    </row>
    <row r="678" spans="14:14" ht="12.75" customHeight="1">
      <c r="N678" s="140"/>
    </row>
    <row r="679" spans="14:14" ht="12.75" customHeight="1">
      <c r="N679" s="140"/>
    </row>
    <row r="680" spans="14:14" ht="12.75" customHeight="1">
      <c r="N680" s="140"/>
    </row>
    <row r="681" spans="14:14" ht="12.75" customHeight="1">
      <c r="N681" s="140"/>
    </row>
    <row r="682" spans="14:14" ht="12.75" customHeight="1">
      <c r="N682" s="140"/>
    </row>
    <row r="683" spans="14:14" ht="12.75" customHeight="1">
      <c r="N683" s="140"/>
    </row>
    <row r="684" spans="14:14" ht="12.75" customHeight="1">
      <c r="N684" s="140"/>
    </row>
    <row r="685" spans="14:14" ht="12.75" customHeight="1">
      <c r="N685" s="140"/>
    </row>
    <row r="686" spans="14:14" ht="12.75" customHeight="1">
      <c r="N686" s="140"/>
    </row>
    <row r="687" spans="14:14" ht="12.75" customHeight="1">
      <c r="N687" s="140"/>
    </row>
    <row r="688" spans="14:14" ht="12.75" customHeight="1">
      <c r="N688" s="140"/>
    </row>
    <row r="689" spans="14:14" ht="12.75" customHeight="1">
      <c r="N689" s="140"/>
    </row>
    <row r="690" spans="14:14" ht="12.75" customHeight="1">
      <c r="N690" s="140"/>
    </row>
    <row r="691" spans="14:14" ht="12.75" customHeight="1">
      <c r="N691" s="140"/>
    </row>
    <row r="692" spans="14:14" ht="12.75" customHeight="1">
      <c r="N692" s="140"/>
    </row>
    <row r="693" spans="14:14" ht="12.75" customHeight="1">
      <c r="N693" s="140"/>
    </row>
    <row r="694" spans="14:14" ht="12.75" customHeight="1">
      <c r="N694" s="140"/>
    </row>
    <row r="695" spans="14:14" ht="12.75" customHeight="1">
      <c r="N695" s="140"/>
    </row>
    <row r="696" spans="14:14" ht="12.75" customHeight="1">
      <c r="N696" s="140"/>
    </row>
    <row r="697" spans="14:14" ht="12.75" customHeight="1">
      <c r="N697" s="140"/>
    </row>
    <row r="698" spans="14:14" ht="12.75" customHeight="1">
      <c r="N698" s="140"/>
    </row>
    <row r="699" spans="14:14" ht="12.75" customHeight="1">
      <c r="N699" s="140"/>
    </row>
    <row r="700" spans="14:14" ht="12.75" customHeight="1">
      <c r="N700" s="140"/>
    </row>
    <row r="701" spans="14:14" ht="12.75" customHeight="1">
      <c r="N701" s="140"/>
    </row>
    <row r="702" spans="14:14" ht="12.75" customHeight="1">
      <c r="N702" s="140"/>
    </row>
    <row r="703" spans="14:14" ht="12.75" customHeight="1">
      <c r="N703" s="140"/>
    </row>
    <row r="704" spans="14:14" ht="12.75" customHeight="1">
      <c r="N704" s="140"/>
    </row>
    <row r="705" spans="14:14" ht="12.75" customHeight="1">
      <c r="N705" s="140"/>
    </row>
    <row r="706" spans="14:14" ht="12.75" customHeight="1">
      <c r="N706" s="140"/>
    </row>
    <row r="707" spans="14:14" ht="12.75" customHeight="1">
      <c r="N707" s="140"/>
    </row>
    <row r="708" spans="14:14" ht="12.75" customHeight="1">
      <c r="N708" s="140"/>
    </row>
    <row r="709" spans="14:14" ht="12.75" customHeight="1">
      <c r="N709" s="140"/>
    </row>
    <row r="710" spans="14:14" ht="12.75" customHeight="1">
      <c r="N710" s="140"/>
    </row>
    <row r="711" spans="14:14" ht="12.75" customHeight="1">
      <c r="N711" s="140"/>
    </row>
    <row r="712" spans="14:14" ht="12.75" customHeight="1">
      <c r="N712" s="140"/>
    </row>
    <row r="713" spans="14:14" ht="12.75" customHeight="1">
      <c r="N713" s="140"/>
    </row>
    <row r="714" spans="14:14" ht="12.75" customHeight="1">
      <c r="N714" s="140"/>
    </row>
    <row r="715" spans="14:14" ht="12.75" customHeight="1">
      <c r="N715" s="140"/>
    </row>
    <row r="716" spans="14:14" ht="12.75" customHeight="1">
      <c r="N716" s="140"/>
    </row>
    <row r="717" spans="14:14" ht="12.75" customHeight="1">
      <c r="N717" s="140"/>
    </row>
    <row r="718" spans="14:14" ht="12.75" customHeight="1">
      <c r="N718" s="140"/>
    </row>
    <row r="719" spans="14:14" ht="12.75" customHeight="1">
      <c r="N719" s="140"/>
    </row>
    <row r="720" spans="14:14" ht="12.75" customHeight="1">
      <c r="N720" s="140"/>
    </row>
    <row r="721" spans="14:14" ht="12.75" customHeight="1">
      <c r="N721" s="140"/>
    </row>
    <row r="722" spans="14:14" ht="12.75" customHeight="1">
      <c r="N722" s="140"/>
    </row>
    <row r="723" spans="14:14" ht="12.75" customHeight="1">
      <c r="N723" s="140"/>
    </row>
    <row r="724" spans="14:14" ht="12.75" customHeight="1">
      <c r="N724" s="140"/>
    </row>
    <row r="725" spans="14:14" ht="12.75" customHeight="1">
      <c r="N725" s="140"/>
    </row>
    <row r="726" spans="14:14" ht="12.75" customHeight="1">
      <c r="N726" s="140"/>
    </row>
    <row r="727" spans="14:14" ht="12.75" customHeight="1">
      <c r="N727" s="140"/>
    </row>
    <row r="728" spans="14:14" ht="12.75" customHeight="1">
      <c r="N728" s="140"/>
    </row>
    <row r="729" spans="14:14" ht="12.75" customHeight="1">
      <c r="N729" s="140"/>
    </row>
    <row r="730" spans="14:14" ht="12.75" customHeight="1">
      <c r="N730" s="140"/>
    </row>
    <row r="731" spans="14:14" ht="12.75" customHeight="1">
      <c r="N731" s="140"/>
    </row>
    <row r="732" spans="14:14" ht="12.75" customHeight="1">
      <c r="N732" s="140"/>
    </row>
    <row r="733" spans="14:14" ht="12.75" customHeight="1">
      <c r="N733" s="140"/>
    </row>
    <row r="734" spans="14:14" ht="12.75" customHeight="1">
      <c r="N734" s="140"/>
    </row>
    <row r="735" spans="14:14" ht="12.75" customHeight="1">
      <c r="N735" s="140"/>
    </row>
    <row r="736" spans="14:14" ht="12.75" customHeight="1">
      <c r="N736" s="140"/>
    </row>
    <row r="737" spans="14:14" ht="12.75" customHeight="1">
      <c r="N737" s="140"/>
    </row>
    <row r="738" spans="14:14" ht="12.75" customHeight="1">
      <c r="N738" s="140"/>
    </row>
    <row r="739" spans="14:14" ht="12.75" customHeight="1">
      <c r="N739" s="140"/>
    </row>
    <row r="740" spans="14:14" ht="12.75" customHeight="1">
      <c r="N740" s="140"/>
    </row>
    <row r="741" spans="14:14" ht="12.75" customHeight="1">
      <c r="N741" s="140"/>
    </row>
    <row r="742" spans="14:14" ht="12.75" customHeight="1">
      <c r="N742" s="140"/>
    </row>
    <row r="743" spans="14:14" ht="12.75" customHeight="1">
      <c r="N743" s="140"/>
    </row>
    <row r="744" spans="14:14" ht="12.75" customHeight="1">
      <c r="N744" s="140"/>
    </row>
    <row r="745" spans="14:14" ht="12.75" customHeight="1">
      <c r="N745" s="140"/>
    </row>
    <row r="746" spans="14:14" ht="12.75" customHeight="1">
      <c r="N746" s="140"/>
    </row>
    <row r="747" spans="14:14" ht="12.75" customHeight="1">
      <c r="N747" s="140"/>
    </row>
    <row r="748" spans="14:14" ht="12.75" customHeight="1">
      <c r="N748" s="140"/>
    </row>
    <row r="749" spans="14:14" ht="12.75" customHeight="1">
      <c r="N749" s="140"/>
    </row>
    <row r="750" spans="14:14" ht="12.75" customHeight="1">
      <c r="N750" s="140"/>
    </row>
    <row r="751" spans="14:14" ht="12.75" customHeight="1">
      <c r="N751" s="140"/>
    </row>
    <row r="752" spans="14:14" ht="12.75" customHeight="1">
      <c r="N752" s="140"/>
    </row>
    <row r="753" spans="14:14" ht="12.75" customHeight="1">
      <c r="N753" s="140"/>
    </row>
    <row r="754" spans="14:14" ht="12.75" customHeight="1">
      <c r="N754" s="140"/>
    </row>
    <row r="755" spans="14:14" ht="12.75" customHeight="1">
      <c r="N755" s="140"/>
    </row>
    <row r="756" spans="14:14" ht="12.75" customHeight="1">
      <c r="N756" s="140"/>
    </row>
    <row r="757" spans="14:14" ht="12.75" customHeight="1">
      <c r="N757" s="140"/>
    </row>
    <row r="758" spans="14:14" ht="12.75" customHeight="1">
      <c r="N758" s="140"/>
    </row>
    <row r="759" spans="14:14" ht="12.75" customHeight="1">
      <c r="N759" s="140"/>
    </row>
    <row r="760" spans="14:14" ht="12.75" customHeight="1">
      <c r="N760" s="140"/>
    </row>
    <row r="761" spans="14:14" ht="12.75" customHeight="1">
      <c r="N761" s="140"/>
    </row>
    <row r="762" spans="14:14" ht="12.75" customHeight="1">
      <c r="N762" s="140"/>
    </row>
    <row r="763" spans="14:14" ht="12.75" customHeight="1">
      <c r="N763" s="140"/>
    </row>
    <row r="764" spans="14:14" ht="12.75" customHeight="1">
      <c r="N764" s="140"/>
    </row>
    <row r="765" spans="14:14" ht="12.75" customHeight="1">
      <c r="N765" s="140"/>
    </row>
    <row r="766" spans="14:14" ht="12.75" customHeight="1">
      <c r="N766" s="140"/>
    </row>
    <row r="767" spans="14:14" ht="12.75" customHeight="1">
      <c r="N767" s="140"/>
    </row>
    <row r="768" spans="14:14" ht="12.75" customHeight="1">
      <c r="N768" s="140"/>
    </row>
    <row r="769" spans="14:14" ht="12.75" customHeight="1">
      <c r="N769" s="140"/>
    </row>
    <row r="770" spans="14:14" ht="12.75" customHeight="1">
      <c r="N770" s="140"/>
    </row>
    <row r="771" spans="14:14" ht="12.75" customHeight="1">
      <c r="N771" s="140"/>
    </row>
    <row r="772" spans="14:14" ht="12.75" customHeight="1">
      <c r="N772" s="140"/>
    </row>
    <row r="773" spans="14:14" ht="12.75" customHeight="1">
      <c r="N773" s="140"/>
    </row>
    <row r="774" spans="14:14" ht="12.75" customHeight="1">
      <c r="N774" s="140"/>
    </row>
    <row r="775" spans="14:14" ht="12.75" customHeight="1">
      <c r="N775" s="140"/>
    </row>
    <row r="776" spans="14:14" ht="12.75" customHeight="1">
      <c r="N776" s="140"/>
    </row>
    <row r="777" spans="14:14" ht="12.75" customHeight="1">
      <c r="N777" s="140"/>
    </row>
    <row r="778" spans="14:14" ht="12.75" customHeight="1">
      <c r="N778" s="140"/>
    </row>
    <row r="779" spans="14:14" ht="12.75" customHeight="1">
      <c r="N779" s="140"/>
    </row>
    <row r="780" spans="14:14" ht="12.75" customHeight="1">
      <c r="N780" s="140"/>
    </row>
    <row r="781" spans="14:14" ht="12.75" customHeight="1">
      <c r="N781" s="140"/>
    </row>
    <row r="782" spans="14:14" ht="12.75" customHeight="1">
      <c r="N782" s="140"/>
    </row>
    <row r="783" spans="14:14" ht="12.75" customHeight="1">
      <c r="N783" s="140"/>
    </row>
    <row r="784" spans="14:14" ht="12.75" customHeight="1">
      <c r="N784" s="140"/>
    </row>
    <row r="785" spans="14:14" ht="12.75" customHeight="1">
      <c r="N785" s="140"/>
    </row>
    <row r="786" spans="14:14" ht="12.75" customHeight="1">
      <c r="N786" s="140"/>
    </row>
    <row r="787" spans="14:14" ht="12.75" customHeight="1">
      <c r="N787" s="140"/>
    </row>
    <row r="788" spans="14:14" ht="12.75" customHeight="1">
      <c r="N788" s="140"/>
    </row>
    <row r="789" spans="14:14" ht="12.75" customHeight="1">
      <c r="N789" s="140"/>
    </row>
    <row r="790" spans="14:14" ht="12.75" customHeight="1">
      <c r="N790" s="140"/>
    </row>
    <row r="791" spans="14:14" ht="12.75" customHeight="1">
      <c r="N791" s="140"/>
    </row>
    <row r="792" spans="14:14" ht="12.75" customHeight="1">
      <c r="N792" s="140"/>
    </row>
    <row r="793" spans="14:14" ht="12.75" customHeight="1">
      <c r="N793" s="140"/>
    </row>
    <row r="794" spans="14:14" ht="12.75" customHeight="1">
      <c r="N794" s="140"/>
    </row>
    <row r="795" spans="14:14" ht="12.75" customHeight="1">
      <c r="N795" s="140"/>
    </row>
    <row r="796" spans="14:14" ht="12.75" customHeight="1">
      <c r="N796" s="140"/>
    </row>
    <row r="797" spans="14:14" ht="12.75" customHeight="1">
      <c r="N797" s="140"/>
    </row>
    <row r="798" spans="14:14" ht="12.75" customHeight="1">
      <c r="N798" s="140"/>
    </row>
    <row r="799" spans="14:14" ht="12.75" customHeight="1">
      <c r="N799" s="140"/>
    </row>
    <row r="800" spans="14:14" ht="12.75" customHeight="1">
      <c r="N800" s="140"/>
    </row>
    <row r="801" spans="14:14" ht="12.75" customHeight="1">
      <c r="N801" s="140"/>
    </row>
    <row r="802" spans="14:14" ht="12.75" customHeight="1">
      <c r="N802" s="140"/>
    </row>
    <row r="803" spans="14:14" ht="12.75" customHeight="1">
      <c r="N803" s="140"/>
    </row>
    <row r="804" spans="14:14" ht="12.75" customHeight="1">
      <c r="N804" s="140"/>
    </row>
    <row r="805" spans="14:14" ht="12.75" customHeight="1">
      <c r="N805" s="140"/>
    </row>
    <row r="806" spans="14:14" ht="12.75" customHeight="1">
      <c r="N806" s="140"/>
    </row>
    <row r="807" spans="14:14" ht="12.75" customHeight="1">
      <c r="N807" s="140"/>
    </row>
    <row r="808" spans="14:14" ht="12.75" customHeight="1">
      <c r="N808" s="140"/>
    </row>
    <row r="809" spans="14:14" ht="12.75" customHeight="1">
      <c r="N809" s="140"/>
    </row>
    <row r="810" spans="14:14" ht="12.75" customHeight="1">
      <c r="N810" s="140"/>
    </row>
    <row r="811" spans="14:14" ht="12.75" customHeight="1">
      <c r="N811" s="140"/>
    </row>
    <row r="812" spans="14:14" ht="12.75" customHeight="1">
      <c r="N812" s="140"/>
    </row>
    <row r="813" spans="14:14" ht="12.75" customHeight="1">
      <c r="N813" s="140"/>
    </row>
    <row r="814" spans="14:14" ht="12.75" customHeight="1">
      <c r="N814" s="140"/>
    </row>
    <row r="815" spans="14:14" ht="12.75" customHeight="1">
      <c r="N815" s="140"/>
    </row>
    <row r="816" spans="14:14" ht="12.75" customHeight="1">
      <c r="N816" s="140"/>
    </row>
    <row r="817" spans="14:14" ht="12.75" customHeight="1">
      <c r="N817" s="140"/>
    </row>
    <row r="818" spans="14:14" ht="12.75" customHeight="1">
      <c r="N818" s="140"/>
    </row>
    <row r="819" spans="14:14" ht="12.75" customHeight="1">
      <c r="N819" s="140"/>
    </row>
    <row r="820" spans="14:14" ht="12.75" customHeight="1">
      <c r="N820" s="140"/>
    </row>
    <row r="821" spans="14:14" ht="12.75" customHeight="1">
      <c r="N821" s="140"/>
    </row>
    <row r="822" spans="14:14" ht="12.75" customHeight="1">
      <c r="N822" s="140"/>
    </row>
    <row r="823" spans="14:14" ht="12.75" customHeight="1">
      <c r="N823" s="140"/>
    </row>
    <row r="824" spans="14:14" ht="12.75" customHeight="1">
      <c r="N824" s="140"/>
    </row>
  </sheetData>
  <mergeCells count="35">
    <mergeCell ref="T8:T9"/>
    <mergeCell ref="AA8:AA9"/>
    <mergeCell ref="AC8:AC9"/>
    <mergeCell ref="W8:W9"/>
    <mergeCell ref="V8:V9"/>
    <mergeCell ref="Z8:Z9"/>
    <mergeCell ref="A1:F5"/>
    <mergeCell ref="D8:D9"/>
    <mergeCell ref="L8:L9"/>
    <mergeCell ref="M8:M9"/>
    <mergeCell ref="N8:N9"/>
    <mergeCell ref="G2:T5"/>
    <mergeCell ref="A6:AE6"/>
    <mergeCell ref="E7:I7"/>
    <mergeCell ref="J7:V7"/>
    <mergeCell ref="W7:AE7"/>
    <mergeCell ref="AE8:AE9"/>
    <mergeCell ref="AB8:AB9"/>
    <mergeCell ref="U8:U9"/>
    <mergeCell ref="X8:X9"/>
    <mergeCell ref="AD8:AD9"/>
    <mergeCell ref="Y8:Y9"/>
    <mergeCell ref="S8:S9"/>
    <mergeCell ref="E8:E9"/>
    <mergeCell ref="P8:P9"/>
    <mergeCell ref="A8:C9"/>
    <mergeCell ref="F8:F9"/>
    <mergeCell ref="O8:O9"/>
    <mergeCell ref="Q8:Q9"/>
    <mergeCell ref="G8:G9"/>
    <mergeCell ref="H8:H9"/>
    <mergeCell ref="I8:I9"/>
    <mergeCell ref="J8:J9"/>
    <mergeCell ref="R8:R9"/>
    <mergeCell ref="K8:K9"/>
  </mergeCells>
  <hyperlinks>
    <hyperlink ref="A8" r:id="rId1" display="http://www.rateksib.ru/"/>
  </hyperlinks>
  <pageMargins left="0.98425196850393704" right="0.78740157480314965" top="0.82677165354330717" bottom="0.98425196850393704" header="0.51181102362204722" footer="0.51181102362204722"/>
  <pageSetup paperSize="9" scale="59" fitToHeight="0" orientation="portrait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"/>
  <dimension ref="A1:Y88"/>
  <sheetViews>
    <sheetView showGridLines="0" showRowColHeaders="0" tabSelected="1" topLeftCell="D2" zoomScale="115" zoomScaleNormal="115" workbookViewId="0">
      <pane ySplit="1" topLeftCell="A3" activePane="bottomLeft" state="frozen"/>
      <selection activeCell="D2" sqref="D2"/>
      <selection pane="bottomLeft" activeCell="F2" sqref="F2"/>
    </sheetView>
  </sheetViews>
  <sheetFormatPr defaultRowHeight="14.5"/>
  <cols>
    <col min="1" max="1" width="2" hidden="1" customWidth="1"/>
    <col min="2" max="2" width="5.7265625" hidden="1" customWidth="1"/>
    <col min="3" max="3" width="12" hidden="1" customWidth="1"/>
    <col min="4" max="4" width="7.26953125" customWidth="1"/>
    <col min="5" max="17" width="9.6328125" customWidth="1"/>
    <col min="19" max="19" width="10" customWidth="1"/>
    <col min="23" max="23" width="14.1796875" customWidth="1"/>
  </cols>
  <sheetData>
    <row r="1" spans="1:24" ht="24.75" hidden="1" customHeight="1"/>
    <row r="2" spans="1:24" ht="22" customHeight="1" thickTop="1" thickBot="1">
      <c r="A2" s="118"/>
      <c r="B2" s="118"/>
      <c r="C2" s="118"/>
      <c r="D2" s="173"/>
      <c r="E2" s="323" t="s">
        <v>2612</v>
      </c>
      <c r="F2" s="204" t="s">
        <v>2682</v>
      </c>
      <c r="G2" s="277" t="s">
        <v>2662</v>
      </c>
      <c r="H2" s="204" t="s">
        <v>2603</v>
      </c>
      <c r="I2" s="278" t="s">
        <v>2604</v>
      </c>
      <c r="J2" s="278" t="s">
        <v>2613</v>
      </c>
      <c r="K2" s="204" t="s">
        <v>2607</v>
      </c>
      <c r="L2" s="278" t="s">
        <v>2614</v>
      </c>
      <c r="M2" s="278" t="s">
        <v>2608</v>
      </c>
      <c r="N2" s="519" t="s">
        <v>2605</v>
      </c>
      <c r="O2" s="520"/>
      <c r="P2" s="278" t="s">
        <v>2606</v>
      </c>
      <c r="Q2" s="278" t="s">
        <v>2634</v>
      </c>
      <c r="R2" s="176"/>
      <c r="S2" s="176"/>
    </row>
    <row r="3" spans="1:24" ht="18" customHeight="1" thickTop="1">
      <c r="A3" s="118"/>
      <c r="B3" s="118"/>
      <c r="C3" s="118"/>
      <c r="D3" s="173"/>
      <c r="E3" s="189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1"/>
      <c r="R3" s="176"/>
      <c r="S3" s="176"/>
    </row>
    <row r="4" spans="1:24" ht="12.75" customHeight="1">
      <c r="A4" s="118"/>
      <c r="B4" s="118"/>
      <c r="C4" s="118"/>
      <c r="D4" s="173"/>
      <c r="E4" s="192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93"/>
      <c r="R4" s="176"/>
      <c r="S4" s="176"/>
    </row>
    <row r="5" spans="1:24" ht="12.5" customHeight="1">
      <c r="A5" s="118"/>
      <c r="B5" s="118"/>
      <c r="C5" s="118"/>
      <c r="D5" s="173"/>
      <c r="E5" s="194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95"/>
      <c r="R5" s="176"/>
      <c r="S5" s="176"/>
    </row>
    <row r="6" spans="1:24" ht="7.5" customHeight="1" thickBot="1">
      <c r="A6" s="118"/>
      <c r="B6" s="118"/>
      <c r="C6" s="118"/>
      <c r="D6" s="173"/>
      <c r="E6" s="202"/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201"/>
      <c r="R6" s="176"/>
      <c r="S6" s="176"/>
    </row>
    <row r="7" spans="1:24" ht="12.75" customHeight="1" thickTop="1">
      <c r="A7" s="118"/>
      <c r="B7" s="118"/>
      <c r="C7" s="118"/>
      <c r="D7" s="173"/>
      <c r="E7" s="486" t="s">
        <v>2803</v>
      </c>
      <c r="F7" s="487"/>
      <c r="G7" s="487"/>
      <c r="H7" s="487"/>
      <c r="I7" s="487"/>
      <c r="J7" s="487"/>
      <c r="K7" s="487"/>
      <c r="L7" s="487"/>
      <c r="M7" s="487"/>
      <c r="N7" s="487"/>
      <c r="O7" s="487"/>
      <c r="P7" s="487"/>
      <c r="Q7" s="487"/>
      <c r="R7" s="176"/>
      <c r="S7" s="176"/>
    </row>
    <row r="8" spans="1:24" ht="16.5" customHeight="1" thickBot="1">
      <c r="A8" s="118"/>
      <c r="B8" s="118"/>
      <c r="C8" s="118"/>
      <c r="D8" s="173"/>
      <c r="E8" s="488"/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  <c r="Q8" s="488"/>
      <c r="R8" s="176"/>
      <c r="S8" s="186"/>
    </row>
    <row r="9" spans="1:24" ht="15" customHeight="1" thickTop="1">
      <c r="A9" s="118"/>
      <c r="B9" s="118"/>
      <c r="C9" s="118"/>
      <c r="D9" s="173"/>
      <c r="E9" s="513" t="s">
        <v>2138</v>
      </c>
      <c r="F9" s="513"/>
      <c r="G9" s="513"/>
      <c r="H9" s="513"/>
      <c r="I9" s="185"/>
      <c r="J9" s="185"/>
      <c r="K9" s="514" t="str">
        <f>IF('из города'!AG9=3,"Пиндосия ДОЛ.",IF('из города'!AG9=1,"Великая Русь РуБ.","Малая Русь ГРН."))</f>
        <v>Малая Русь ГРН.</v>
      </c>
      <c r="L9" s="514"/>
      <c r="M9" s="489">
        <v>1</v>
      </c>
      <c r="N9" s="470" t="s">
        <v>2611</v>
      </c>
      <c r="O9" s="491">
        <v>26</v>
      </c>
      <c r="P9" s="471" t="str">
        <f>IF('из города'!AG9=3,"Дол.",IF('из города'!AG9=1,"Рублей.","Гривен."))</f>
        <v>Гривен.</v>
      </c>
      <c r="Q9" s="121"/>
      <c r="R9" s="176"/>
      <c r="S9" s="176"/>
    </row>
    <row r="10" spans="1:24" ht="15" customHeight="1" thickBot="1">
      <c r="A10" s="118"/>
      <c r="B10" s="118"/>
      <c r="C10" s="118"/>
      <c r="D10" s="173"/>
      <c r="E10" s="513"/>
      <c r="F10" s="513"/>
      <c r="G10" s="513"/>
      <c r="H10" s="513"/>
      <c r="I10" s="185"/>
      <c r="J10" s="185"/>
      <c r="K10" s="514"/>
      <c r="L10" s="514"/>
      <c r="M10" s="490"/>
      <c r="N10" s="470"/>
      <c r="O10" s="492"/>
      <c r="P10" s="471"/>
      <c r="Q10" s="121"/>
      <c r="R10" s="176"/>
    </row>
    <row r="11" spans="1:24" ht="9" customHeight="1" thickTop="1" thickBot="1">
      <c r="A11" s="118"/>
      <c r="B11" s="118"/>
      <c r="C11" s="118"/>
      <c r="D11" s="173"/>
      <c r="E11" s="178"/>
      <c r="F11" s="178"/>
      <c r="G11" s="178"/>
      <c r="H11" s="178"/>
      <c r="I11" s="178"/>
      <c r="J11" s="178"/>
      <c r="K11" s="120"/>
      <c r="L11" s="120"/>
      <c r="M11" s="120"/>
      <c r="N11" s="118"/>
      <c r="O11" s="330"/>
      <c r="P11" s="118"/>
      <c r="Q11" s="118"/>
      <c r="R11" s="176"/>
    </row>
    <row r="12" spans="1:24" s="327" customFormat="1" ht="15.5" customHeight="1" thickTop="1">
      <c r="A12" s="324"/>
      <c r="B12" s="324"/>
      <c r="C12" s="324"/>
      <c r="D12" s="325"/>
      <c r="E12" s="504" t="s">
        <v>0</v>
      </c>
      <c r="F12" s="505"/>
      <c r="G12" s="505"/>
      <c r="H12" s="505"/>
      <c r="I12" s="505"/>
      <c r="J12" s="506"/>
      <c r="K12" s="477" t="s">
        <v>1</v>
      </c>
      <c r="L12" s="478"/>
      <c r="M12" s="479"/>
      <c r="N12" s="477" t="s">
        <v>2119</v>
      </c>
      <c r="O12" s="479"/>
      <c r="P12" s="477" t="s">
        <v>3</v>
      </c>
      <c r="Q12" s="479"/>
      <c r="R12" s="326"/>
    </row>
    <row r="13" spans="1:24" s="327" customFormat="1" ht="15.5" customHeight="1">
      <c r="A13" s="324"/>
      <c r="B13" s="324"/>
      <c r="C13" s="324"/>
      <c r="D13" s="325"/>
      <c r="E13" s="507"/>
      <c r="F13" s="508"/>
      <c r="G13" s="508"/>
      <c r="H13" s="508"/>
      <c r="I13" s="508"/>
      <c r="J13" s="509"/>
      <c r="K13" s="480"/>
      <c r="L13" s="481"/>
      <c r="M13" s="482"/>
      <c r="N13" s="480"/>
      <c r="O13" s="482"/>
      <c r="P13" s="480"/>
      <c r="Q13" s="482"/>
      <c r="R13" s="326"/>
      <c r="S13" s="326"/>
      <c r="X13" s="328">
        <f>O9</f>
        <v>26</v>
      </c>
    </row>
    <row r="14" spans="1:24" s="327" customFormat="1" ht="15.5" customHeight="1" thickBot="1">
      <c r="A14" s="324"/>
      <c r="B14" s="324"/>
      <c r="C14" s="324"/>
      <c r="D14" s="325"/>
      <c r="E14" s="510"/>
      <c r="F14" s="511"/>
      <c r="G14" s="511"/>
      <c r="H14" s="511"/>
      <c r="I14" s="511"/>
      <c r="J14" s="512"/>
      <c r="K14" s="483"/>
      <c r="L14" s="484"/>
      <c r="M14" s="485"/>
      <c r="N14" s="483"/>
      <c r="O14" s="485"/>
      <c r="P14" s="483"/>
      <c r="Q14" s="485"/>
      <c r="R14" s="326"/>
      <c r="S14" s="329">
        <v>58</v>
      </c>
    </row>
    <row r="15" spans="1:24" ht="9" customHeight="1" thickTop="1">
      <c r="A15" s="118"/>
      <c r="B15" s="118"/>
      <c r="C15" s="118"/>
      <c r="D15" s="173"/>
      <c r="E15" s="497" t="s">
        <v>2683</v>
      </c>
      <c r="F15" s="498"/>
      <c r="G15" s="498"/>
      <c r="H15" s="498"/>
      <c r="I15" s="498"/>
      <c r="J15" s="498"/>
      <c r="K15" s="465">
        <f>'Смета фунд.'!T46+Купол!K7+Купол!K94+козырёк!I7+'Перекрытия 1'!O7+'Перекрытия 1'!O10+Перекрытие2!I7+Перекрытие2!I10+'Стены 1'!K7+'Стены 1'!K8+'Стены 1'!K9+Стены2!K5+Стены2!K6+Башня!I5+Башня!I6+Башня!I8+Окна!I5+Окна!I11+Купол!K97</f>
        <v>22.55</v>
      </c>
      <c r="L15" s="465"/>
      <c r="M15" s="473" t="s">
        <v>11</v>
      </c>
      <c r="N15" s="468">
        <f>P15/K15</f>
        <v>3595.4323725055433</v>
      </c>
      <c r="O15" s="475" t="str">
        <f>IF('из города'!AG9=3,"Дол.",IF('из города'!AG9=1,"Руб.","Грн."))</f>
        <v>Грн.</v>
      </c>
      <c r="P15" s="465">
        <f>'Смета фунд.'!U46+Купол!O7+Купол!O94+козырёк!M7+'Перекрытия 1'!P7+'Перекрытия 1'!P10+Перекрытие2!M7+Перекрытие2!M10+'Стены 1'!O7+'Стены 1'!O8+'Стены 1'!O9+Стены2!O5+Стены2!O6+Башня!M5+Башня!M6+Башня!M8+Окна!M5+Окна!M11+Купол!O97</f>
        <v>81077</v>
      </c>
      <c r="Q15" s="493" t="str">
        <f>IF('из города'!AG9=3,"Дол.",IF('из города'!AG9=1,"Руб.","Грн."))</f>
        <v>Грн.</v>
      </c>
      <c r="R15" s="173"/>
      <c r="S15" s="173"/>
    </row>
    <row r="16" spans="1:24" ht="9" customHeight="1">
      <c r="A16" s="118"/>
      <c r="B16" s="118"/>
      <c r="C16" s="118"/>
      <c r="D16" s="173"/>
      <c r="E16" s="497"/>
      <c r="F16" s="498"/>
      <c r="G16" s="498"/>
      <c r="H16" s="498"/>
      <c r="I16" s="498"/>
      <c r="J16" s="498"/>
      <c r="K16" s="465"/>
      <c r="L16" s="465"/>
      <c r="M16" s="473"/>
      <c r="N16" s="468"/>
      <c r="O16" s="475"/>
      <c r="P16" s="465"/>
      <c r="Q16" s="493"/>
      <c r="R16" s="173"/>
      <c r="S16" s="173"/>
    </row>
    <row r="17" spans="1:19" ht="9" customHeight="1">
      <c r="A17" s="118"/>
      <c r="B17" s="118"/>
      <c r="C17" s="118"/>
      <c r="D17" s="173"/>
      <c r="E17" s="499"/>
      <c r="F17" s="500"/>
      <c r="G17" s="500"/>
      <c r="H17" s="500"/>
      <c r="I17" s="500"/>
      <c r="J17" s="500"/>
      <c r="K17" s="466"/>
      <c r="L17" s="466"/>
      <c r="M17" s="474"/>
      <c r="N17" s="469"/>
      <c r="O17" s="476"/>
      <c r="P17" s="466"/>
      <c r="Q17" s="494"/>
      <c r="R17" s="173"/>
      <c r="S17" s="174"/>
    </row>
    <row r="18" spans="1:19" ht="9" customHeight="1">
      <c r="A18" s="118"/>
      <c r="B18" s="118"/>
      <c r="C18" s="118"/>
      <c r="D18" s="173"/>
      <c r="E18" s="497" t="s">
        <v>2118</v>
      </c>
      <c r="F18" s="498"/>
      <c r="G18" s="498"/>
      <c r="H18" s="498"/>
      <c r="I18" s="498"/>
      <c r="J18" s="498"/>
      <c r="K18" s="465">
        <f>'Перекрытия 1'!O13+Перекрытие2!I13</f>
        <v>2</v>
      </c>
      <c r="L18" s="465"/>
      <c r="M18" s="473" t="s">
        <v>11</v>
      </c>
      <c r="N18" s="468">
        <f>P18/K18</f>
        <v>6900</v>
      </c>
      <c r="O18" s="475" t="str">
        <f>IF('из города'!AG9=3,"Дол.",IF('из города'!AG9=1,"Руб.","Грн."))</f>
        <v>Грн.</v>
      </c>
      <c r="P18" s="465">
        <f>'Перекрытия 1'!P13+Перекрытие2!M13</f>
        <v>13800</v>
      </c>
      <c r="Q18" s="493" t="str">
        <f>IF('из города'!AG9=3,"Дол.",IF('из города'!AG9=1,"Руб.","Грн."))</f>
        <v>Грн.</v>
      </c>
      <c r="R18" s="173"/>
      <c r="S18" s="187" t="s">
        <v>2799</v>
      </c>
    </row>
    <row r="19" spans="1:19" ht="9" customHeight="1">
      <c r="A19" s="118"/>
      <c r="B19" s="118"/>
      <c r="C19" s="118"/>
      <c r="D19" s="173"/>
      <c r="E19" s="497"/>
      <c r="F19" s="498"/>
      <c r="G19" s="498"/>
      <c r="H19" s="498"/>
      <c r="I19" s="498"/>
      <c r="J19" s="498"/>
      <c r="K19" s="465"/>
      <c r="L19" s="465"/>
      <c r="M19" s="473"/>
      <c r="N19" s="468"/>
      <c r="O19" s="475"/>
      <c r="P19" s="465"/>
      <c r="Q19" s="493"/>
      <c r="R19" s="173"/>
      <c r="S19" s="187" t="s">
        <v>2800</v>
      </c>
    </row>
    <row r="20" spans="1:19" ht="9" customHeight="1">
      <c r="A20" s="118"/>
      <c r="B20" s="118"/>
      <c r="C20" s="118"/>
      <c r="D20" s="173"/>
      <c r="E20" s="497"/>
      <c r="F20" s="498"/>
      <c r="G20" s="498"/>
      <c r="H20" s="498"/>
      <c r="I20" s="498"/>
      <c r="J20" s="498"/>
      <c r="K20" s="465"/>
      <c r="L20" s="465"/>
      <c r="M20" s="473"/>
      <c r="N20" s="468"/>
      <c r="O20" s="476"/>
      <c r="P20" s="465"/>
      <c r="Q20" s="494"/>
      <c r="R20" s="173"/>
      <c r="S20" s="188" t="s">
        <v>2798</v>
      </c>
    </row>
    <row r="21" spans="1:19" ht="9" customHeight="1">
      <c r="A21" s="118"/>
      <c r="B21" s="118"/>
      <c r="C21" s="118"/>
      <c r="D21" s="173"/>
      <c r="E21" s="495" t="s">
        <v>2120</v>
      </c>
      <c r="F21" s="496"/>
      <c r="G21" s="496"/>
      <c r="H21" s="496"/>
      <c r="I21" s="496"/>
      <c r="J21" s="496"/>
      <c r="K21" s="464">
        <f>'Смета фунд.'!T28+'Смета фунд.'!T34+'Смета фунд.'!T40+'Смета фунд.'!T55+'Смета фунд.'!T58+'Смета фунд.'!T61+Купол!K22+Купол!K25+Купол!K28+Купол!K31+Купол!K64+Купол!K103+Купол!K109+Купол!K112+козырёк!I16+козырёк!I25+козырёк!I28+козырёк!I31+'Перекрытия 1'!O16+'Перекрытия 1'!O25+'Перекрытия 1'!O28+Перекрытие2!I16+Перекрытие2!I25+Перекрытие2!I28+Перекрытие2!I43+'Стены 1'!K11+'Стены 1'!K14+Стены2!K8+Стены2!K11+Башня!I15+Башня!I16+Башня!I17+Башня!I18+Башня!I19+Башня!I20+Окна!I7+Окна!I12+Окна!I13+Купол!K37+Купол!K34+Купол!K31+Купол!K106+Купол!K115+Купол!K127+Купол!K130+Купол!K133+Купол!K118+Купол!K43+Купол!K40</f>
        <v>238.16300000000001</v>
      </c>
      <c r="L21" s="464"/>
      <c r="M21" s="472" t="s">
        <v>12</v>
      </c>
      <c r="N21" s="467">
        <f>P21/K21</f>
        <v>78.839983120803808</v>
      </c>
      <c r="O21" s="475" t="str">
        <f>IF('из города'!AG9=3,"Дол.",IF('из города'!AG9=1,"Руб.","Грн."))</f>
        <v>Грн.</v>
      </c>
      <c r="P21" s="464">
        <f>'Смета фунд.'!U28+'Смета фунд.'!U34+'Смета фунд.'!U40+'Смета фунд.'!U55+'Смета фунд.'!U61+Купол!O22+Купол!O25+Купол!O28+Купол!O31+Купол!O64+Купол!O103+Купол!O109+Купол!O112+козырёк!M16+козырёк!M25+козырёк!M28+козырёк!M31+'Перекрытия 1'!P16+'Перекрытия 1'!P25+'Перекрытия 1'!P28+Перекрытие2!M16+Перекрытие2!M25+'Стены 1'!O11+'Стены 1'!O14+Стены2!O8+Стены2!O11+Башня!M15+Башня!M16+Башня!M17+Башня!M18+Башня!M19+Башня!M20+Окна!M7+Окна!M12+Окна!M13+Купол!O37+Купол!O34+Купол!O31+Купол!O106+Купол!O115+Купол!O127+Купол!O130+Купол!O133+Купол!O118+Купол!O43+Купол!O40</f>
        <v>18776.766899999999</v>
      </c>
      <c r="Q21" s="493" t="str">
        <f>IF('из города'!AG9=3,"Дол.",IF('из города'!AG9=1,"Руб.","Грн."))</f>
        <v>Грн.</v>
      </c>
      <c r="R21" s="173"/>
      <c r="S21" s="173"/>
    </row>
    <row r="22" spans="1:19" ht="9" customHeight="1">
      <c r="A22" s="118"/>
      <c r="B22" s="118"/>
      <c r="C22" s="118"/>
      <c r="D22" s="173"/>
      <c r="E22" s="497"/>
      <c r="F22" s="498"/>
      <c r="G22" s="498"/>
      <c r="H22" s="498"/>
      <c r="I22" s="498"/>
      <c r="J22" s="498"/>
      <c r="K22" s="465"/>
      <c r="L22" s="465"/>
      <c r="M22" s="473"/>
      <c r="N22" s="468"/>
      <c r="O22" s="475"/>
      <c r="P22" s="465"/>
      <c r="Q22" s="493"/>
      <c r="R22" s="173"/>
      <c r="S22" s="173"/>
    </row>
    <row r="23" spans="1:19" ht="8.5" customHeight="1">
      <c r="A23" s="118"/>
      <c r="B23" s="118"/>
      <c r="C23" s="118"/>
      <c r="D23" s="173"/>
      <c r="E23" s="499"/>
      <c r="F23" s="500"/>
      <c r="G23" s="500"/>
      <c r="H23" s="500"/>
      <c r="I23" s="500"/>
      <c r="J23" s="500"/>
      <c r="K23" s="466"/>
      <c r="L23" s="466"/>
      <c r="M23" s="474"/>
      <c r="N23" s="469"/>
      <c r="O23" s="476"/>
      <c r="P23" s="466"/>
      <c r="Q23" s="494"/>
      <c r="R23" s="173"/>
      <c r="S23" s="173"/>
    </row>
    <row r="24" spans="1:19" ht="9" customHeight="1">
      <c r="A24" s="118"/>
      <c r="B24" s="118"/>
      <c r="C24" s="118"/>
      <c r="D24" s="173"/>
      <c r="E24" s="495" t="s">
        <v>2801</v>
      </c>
      <c r="F24" s="496"/>
      <c r="G24" s="496"/>
      <c r="H24" s="496"/>
      <c r="I24" s="496"/>
      <c r="J24" s="496"/>
      <c r="K24" s="464">
        <f>Купол!K16+'Перекрытия 1'!O31+Перекрытие2!I31+'Стены 1'!K10+Стены2!K7+Башня!I11</f>
        <v>20</v>
      </c>
      <c r="L24" s="464"/>
      <c r="M24" s="472" t="s">
        <v>11</v>
      </c>
      <c r="N24" s="467">
        <f>P24/K24</f>
        <v>295</v>
      </c>
      <c r="O24" s="475" t="str">
        <f>IF('из города'!AG9=3,"Дол.",IF('из города'!AG9=1,"Руб.","Грн."))</f>
        <v>Грн.</v>
      </c>
      <c r="P24" s="464">
        <f>Купол!O16+'Перекрытия 1'!P31+Перекрытие2!M31+'Стены 1'!O10+Стены2!O7+Башня!M11</f>
        <v>5900</v>
      </c>
      <c r="Q24" s="493" t="str">
        <f>IF('из города'!AG9=3,"Дол.",IF('из города'!AG9=1,"Руб.","Грн."))</f>
        <v>Грн.</v>
      </c>
      <c r="R24" s="173"/>
      <c r="S24" s="173"/>
    </row>
    <row r="25" spans="1:19" ht="9" customHeight="1">
      <c r="A25" s="118"/>
      <c r="B25" s="118"/>
      <c r="C25" s="118"/>
      <c r="D25" s="173"/>
      <c r="E25" s="497"/>
      <c r="F25" s="498"/>
      <c r="G25" s="498"/>
      <c r="H25" s="498"/>
      <c r="I25" s="498"/>
      <c r="J25" s="498"/>
      <c r="K25" s="465"/>
      <c r="L25" s="465"/>
      <c r="M25" s="473"/>
      <c r="N25" s="468"/>
      <c r="O25" s="475"/>
      <c r="P25" s="465"/>
      <c r="Q25" s="493"/>
      <c r="R25" s="173"/>
      <c r="S25" s="173"/>
    </row>
    <row r="26" spans="1:19" ht="9" customHeight="1">
      <c r="A26" s="118"/>
      <c r="B26" s="118"/>
      <c r="C26" s="118"/>
      <c r="D26" s="173"/>
      <c r="E26" s="499"/>
      <c r="F26" s="500"/>
      <c r="G26" s="500"/>
      <c r="H26" s="500"/>
      <c r="I26" s="500"/>
      <c r="J26" s="500"/>
      <c r="K26" s="466"/>
      <c r="L26" s="466"/>
      <c r="M26" s="474"/>
      <c r="N26" s="469"/>
      <c r="O26" s="476"/>
      <c r="P26" s="466"/>
      <c r="Q26" s="494"/>
      <c r="R26" s="173"/>
      <c r="S26" s="173"/>
    </row>
    <row r="27" spans="1:19" ht="9" customHeight="1">
      <c r="A27" s="118"/>
      <c r="B27" s="118"/>
      <c r="C27" s="118"/>
      <c r="D27" s="173"/>
      <c r="E27" s="495" t="s">
        <v>10</v>
      </c>
      <c r="F27" s="496"/>
      <c r="G27" s="496"/>
      <c r="H27" s="496"/>
      <c r="I27" s="496"/>
      <c r="J27" s="496"/>
      <c r="K27" s="464">
        <f>Купол!K85+козырёк!I19+Башня!I7</f>
        <v>96</v>
      </c>
      <c r="L27" s="464"/>
      <c r="M27" s="472" t="s">
        <v>13</v>
      </c>
      <c r="N27" s="467">
        <f>P27/K27</f>
        <v>170</v>
      </c>
      <c r="O27" s="475" t="str">
        <f>IF('из города'!AG9=3,"Дол.",IF('из города'!AG9=1,"Руб.","Грн."))</f>
        <v>Грн.</v>
      </c>
      <c r="P27" s="464">
        <f>Купол!O85+козырёк!M19+Башня!M7</f>
        <v>16320</v>
      </c>
      <c r="Q27" s="493" t="str">
        <f>IF('из города'!AG9=3,"Дол.",IF('из города'!AG9=1,"Руб.","Грн."))</f>
        <v>Грн.</v>
      </c>
      <c r="R27" s="173"/>
      <c r="S27" s="173"/>
    </row>
    <row r="28" spans="1:19" ht="9" customHeight="1">
      <c r="A28" s="118"/>
      <c r="B28" s="118"/>
      <c r="C28" s="118"/>
      <c r="D28" s="173"/>
      <c r="E28" s="497"/>
      <c r="F28" s="498"/>
      <c r="G28" s="498"/>
      <c r="H28" s="498"/>
      <c r="I28" s="498"/>
      <c r="J28" s="498"/>
      <c r="K28" s="465"/>
      <c r="L28" s="465"/>
      <c r="M28" s="473"/>
      <c r="N28" s="468"/>
      <c r="O28" s="475"/>
      <c r="P28" s="465"/>
      <c r="Q28" s="493"/>
      <c r="R28" s="173"/>
      <c r="S28" s="173"/>
    </row>
    <row r="29" spans="1:19" ht="9" customHeight="1">
      <c r="A29" s="118"/>
      <c r="B29" s="118"/>
      <c r="C29" s="118"/>
      <c r="D29" s="173"/>
      <c r="E29" s="499"/>
      <c r="F29" s="500"/>
      <c r="G29" s="500"/>
      <c r="H29" s="500"/>
      <c r="I29" s="500"/>
      <c r="J29" s="500"/>
      <c r="K29" s="466"/>
      <c r="L29" s="466"/>
      <c r="M29" s="474"/>
      <c r="N29" s="469"/>
      <c r="O29" s="476"/>
      <c r="P29" s="466"/>
      <c r="Q29" s="494"/>
      <c r="R29" s="173"/>
      <c r="S29" s="173"/>
    </row>
    <row r="30" spans="1:19" ht="9" customHeight="1">
      <c r="A30" s="118"/>
      <c r="B30" s="118"/>
      <c r="C30" s="118"/>
      <c r="D30" s="173"/>
      <c r="E30" s="495" t="s">
        <v>2802</v>
      </c>
      <c r="F30" s="496"/>
      <c r="G30" s="496"/>
      <c r="H30" s="496"/>
      <c r="I30" s="496"/>
      <c r="J30" s="496"/>
      <c r="K30" s="465">
        <f>Купол!K88+козырёк!I22+Купол!K91</f>
        <v>132.25</v>
      </c>
      <c r="L30" s="465"/>
      <c r="M30" s="473" t="s">
        <v>13</v>
      </c>
      <c r="N30" s="468">
        <f>P30/K30</f>
        <v>158.6578449905482</v>
      </c>
      <c r="O30" s="475" t="str">
        <f>IF('из города'!AG9=3,"Дол.",IF('из города'!AG9=1,"Руб.","Грн."))</f>
        <v>Грн.</v>
      </c>
      <c r="P30" s="465">
        <f>Купол!O88+козырёк!M22+Купол!O91</f>
        <v>20982.5</v>
      </c>
      <c r="Q30" s="493" t="str">
        <f>IF('из города'!AG9=3,"Дол.",IF('из города'!AG9=1,"Руб.","Грн."))</f>
        <v>Грн.</v>
      </c>
      <c r="R30" s="173"/>
      <c r="S30" s="173"/>
    </row>
    <row r="31" spans="1:19" ht="9" customHeight="1">
      <c r="A31" s="118"/>
      <c r="B31" s="118"/>
      <c r="C31" s="118"/>
      <c r="D31" s="173"/>
      <c r="E31" s="497"/>
      <c r="F31" s="498"/>
      <c r="G31" s="498"/>
      <c r="H31" s="498"/>
      <c r="I31" s="498"/>
      <c r="J31" s="498"/>
      <c r="K31" s="465"/>
      <c r="L31" s="465"/>
      <c r="M31" s="473"/>
      <c r="N31" s="468"/>
      <c r="O31" s="475"/>
      <c r="P31" s="465"/>
      <c r="Q31" s="493"/>
      <c r="R31" s="173"/>
      <c r="S31" s="173"/>
    </row>
    <row r="32" spans="1:19" ht="9" customHeight="1">
      <c r="A32" s="118"/>
      <c r="B32" s="118"/>
      <c r="C32" s="118"/>
      <c r="D32" s="173"/>
      <c r="E32" s="499"/>
      <c r="F32" s="500"/>
      <c r="G32" s="500"/>
      <c r="H32" s="500"/>
      <c r="I32" s="500"/>
      <c r="J32" s="500"/>
      <c r="K32" s="465"/>
      <c r="L32" s="465"/>
      <c r="M32" s="473"/>
      <c r="N32" s="468"/>
      <c r="O32" s="476"/>
      <c r="P32" s="465"/>
      <c r="Q32" s="494"/>
      <c r="R32" s="173"/>
      <c r="S32" s="173"/>
    </row>
    <row r="33" spans="1:20" ht="9" customHeight="1">
      <c r="A33" s="118"/>
      <c r="B33" s="118"/>
      <c r="C33" s="118"/>
      <c r="D33" s="173"/>
      <c r="E33" s="495" t="s">
        <v>2815</v>
      </c>
      <c r="F33" s="496"/>
      <c r="G33" s="496"/>
      <c r="H33" s="496"/>
      <c r="I33" s="496"/>
      <c r="J33" s="496"/>
      <c r="K33" s="464">
        <f>Купол!K58+Купол!K61</f>
        <v>50</v>
      </c>
      <c r="L33" s="464"/>
      <c r="M33" s="472" t="s">
        <v>16</v>
      </c>
      <c r="N33" s="467">
        <f>P33/K33</f>
        <v>724.6</v>
      </c>
      <c r="O33" s="475" t="str">
        <f>IF('из города'!AG9=3,"Дол.",IF('из города'!AG9=1,"Руб.","Грн."))</f>
        <v>Грн.</v>
      </c>
      <c r="P33" s="464">
        <f>Купол!O46+Купол!O52+Купол!O58+Купол!O49+Купол!O55+Купол!O61+Купол!O61</f>
        <v>36230</v>
      </c>
      <c r="Q33" s="493" t="str">
        <f>IF('из города'!AG9=3,"Дол.",IF('из города'!AG9=1,"Руб.","Грн."))</f>
        <v>Грн.</v>
      </c>
      <c r="R33" s="173"/>
      <c r="S33" s="173"/>
    </row>
    <row r="34" spans="1:20" ht="9" customHeight="1">
      <c r="A34" s="118"/>
      <c r="B34" s="118"/>
      <c r="C34" s="118"/>
      <c r="D34" s="173"/>
      <c r="E34" s="497"/>
      <c r="F34" s="498"/>
      <c r="G34" s="498"/>
      <c r="H34" s="498"/>
      <c r="I34" s="498"/>
      <c r="J34" s="498"/>
      <c r="K34" s="465"/>
      <c r="L34" s="465"/>
      <c r="M34" s="473"/>
      <c r="N34" s="468"/>
      <c r="O34" s="475"/>
      <c r="P34" s="465"/>
      <c r="Q34" s="493"/>
      <c r="R34" s="173"/>
      <c r="S34" s="173"/>
    </row>
    <row r="35" spans="1:20" ht="9" customHeight="1">
      <c r="A35" s="118"/>
      <c r="B35" s="118"/>
      <c r="C35" s="118"/>
      <c r="D35" s="173"/>
      <c r="E35" s="499"/>
      <c r="F35" s="500"/>
      <c r="G35" s="500"/>
      <c r="H35" s="500"/>
      <c r="I35" s="500"/>
      <c r="J35" s="500"/>
      <c r="K35" s="466"/>
      <c r="L35" s="466"/>
      <c r="M35" s="474"/>
      <c r="N35" s="469"/>
      <c r="O35" s="476"/>
      <c r="P35" s="466"/>
      <c r="Q35" s="494"/>
      <c r="R35" s="173"/>
      <c r="S35" s="173"/>
      <c r="T35" s="125"/>
    </row>
    <row r="36" spans="1:20" ht="9" customHeight="1">
      <c r="A36" s="118"/>
      <c r="B36" s="118"/>
      <c r="C36" s="118"/>
      <c r="D36" s="173"/>
      <c r="E36" s="495" t="s">
        <v>2581</v>
      </c>
      <c r="F36" s="496"/>
      <c r="G36" s="496"/>
      <c r="H36" s="496"/>
      <c r="I36" s="496"/>
      <c r="J36" s="496"/>
      <c r="K36" s="515" t="s">
        <v>2582</v>
      </c>
      <c r="L36" s="515"/>
      <c r="M36" s="501" t="str">
        <f>Доставка!I17</f>
        <v>Полтава</v>
      </c>
      <c r="N36" s="501"/>
      <c r="O36" s="501"/>
      <c r="P36" s="464">
        <f>IF(Доставка!R17="рублей",IF(Q36="Дол.",(IF('из города'!$AG$10,Доставка!Q17,0))/65,IF('из города'!$AG$10,Доставка!Q17,0)),IF(Q36="Дол.",(IF('из города'!$AG$10,Доставка!Q17,0))/17,IF('из города'!$AG$10,Доставка!Q17,0)))</f>
        <v>0</v>
      </c>
      <c r="Q36" s="493" t="str">
        <f>IF('из города'!AG9=3,"Дол.",IF('из города'!AG9=1,"Руб.","Грн."))</f>
        <v>Грн.</v>
      </c>
      <c r="R36" s="173"/>
      <c r="S36" s="173"/>
      <c r="T36" s="125"/>
    </row>
    <row r="37" spans="1:20" ht="9" customHeight="1">
      <c r="A37" s="118"/>
      <c r="B37" s="118"/>
      <c r="C37" s="118"/>
      <c r="D37" s="173"/>
      <c r="E37" s="497"/>
      <c r="F37" s="498"/>
      <c r="G37" s="498"/>
      <c r="H37" s="498"/>
      <c r="I37" s="498"/>
      <c r="J37" s="498"/>
      <c r="K37" s="516"/>
      <c r="L37" s="516"/>
      <c r="M37" s="502"/>
      <c r="N37" s="502"/>
      <c r="O37" s="502"/>
      <c r="P37" s="465"/>
      <c r="Q37" s="493"/>
      <c r="R37" s="173"/>
      <c r="S37" s="173"/>
      <c r="T37" s="125"/>
    </row>
    <row r="38" spans="1:20" ht="9" customHeight="1">
      <c r="A38" s="118"/>
      <c r="B38" s="118"/>
      <c r="C38" s="118"/>
      <c r="D38" s="173"/>
      <c r="E38" s="499"/>
      <c r="F38" s="500"/>
      <c r="G38" s="500"/>
      <c r="H38" s="500"/>
      <c r="I38" s="500"/>
      <c r="J38" s="500"/>
      <c r="K38" s="517"/>
      <c r="L38" s="517"/>
      <c r="M38" s="503"/>
      <c r="N38" s="503"/>
      <c r="O38" s="503"/>
      <c r="P38" s="466"/>
      <c r="Q38" s="494"/>
      <c r="R38" s="173"/>
      <c r="S38" s="173"/>
      <c r="T38" s="113" t="b">
        <v>1</v>
      </c>
    </row>
    <row r="39" spans="1:20" ht="9" customHeight="1">
      <c r="A39" s="118"/>
      <c r="B39" s="118"/>
      <c r="C39" s="118"/>
      <c r="D39" s="173"/>
      <c r="E39" s="495" t="s">
        <v>7</v>
      </c>
      <c r="F39" s="496"/>
      <c r="G39" s="496"/>
      <c r="H39" s="496"/>
      <c r="I39" s="496"/>
      <c r="J39" s="496"/>
      <c r="K39" s="464">
        <f>Купол!K67+'Перекрытия 1'!O19+Перекрытие2!I19+'Стены 1'!K15+Стены2!K13+Башня!I13</f>
        <v>105</v>
      </c>
      <c r="L39" s="464"/>
      <c r="M39" s="472" t="s">
        <v>13</v>
      </c>
      <c r="N39" s="467">
        <f>P39/K39</f>
        <v>6.9428571428571431</v>
      </c>
      <c r="O39" s="475" t="str">
        <f>IF('из города'!AG9=3,"Дол.",IF('из города'!AG9=1,"Руб.","Грн."))</f>
        <v>Грн.</v>
      </c>
      <c r="P39" s="464">
        <f>Купол!O67+'Перекрытия 1'!P19+Перекрытие2!M19+'Стены 1'!O15+Стены2!K13+Башня!M13</f>
        <v>729</v>
      </c>
      <c r="Q39" s="493" t="str">
        <f>IF('из города'!AG9=3,"Дол.",IF('из города'!AG9=1,"Руб.","Грн."))</f>
        <v>Грн.</v>
      </c>
      <c r="R39" s="173"/>
      <c r="S39" s="173"/>
    </row>
    <row r="40" spans="1:20" ht="9" customHeight="1">
      <c r="A40" s="118"/>
      <c r="B40" s="118"/>
      <c r="C40" s="118"/>
      <c r="D40" s="173"/>
      <c r="E40" s="497"/>
      <c r="F40" s="498"/>
      <c r="G40" s="498"/>
      <c r="H40" s="498"/>
      <c r="I40" s="498"/>
      <c r="J40" s="498"/>
      <c r="K40" s="465"/>
      <c r="L40" s="465"/>
      <c r="M40" s="473"/>
      <c r="N40" s="468"/>
      <c r="O40" s="475"/>
      <c r="P40" s="465"/>
      <c r="Q40" s="493"/>
      <c r="R40" s="173"/>
      <c r="S40" s="173"/>
    </row>
    <row r="41" spans="1:20" ht="9" customHeight="1">
      <c r="A41" s="118"/>
      <c r="B41" s="118"/>
      <c r="C41" s="118"/>
      <c r="D41" s="173"/>
      <c r="E41" s="499"/>
      <c r="F41" s="500"/>
      <c r="G41" s="500"/>
      <c r="H41" s="500"/>
      <c r="I41" s="500"/>
      <c r="J41" s="500"/>
      <c r="K41" s="466"/>
      <c r="L41" s="466"/>
      <c r="M41" s="474"/>
      <c r="N41" s="469"/>
      <c r="O41" s="476"/>
      <c r="P41" s="466"/>
      <c r="Q41" s="494"/>
      <c r="R41" s="173"/>
      <c r="S41" s="173"/>
    </row>
    <row r="42" spans="1:20" ht="9" customHeight="1">
      <c r="A42" s="118"/>
      <c r="B42" s="119"/>
      <c r="C42" s="118"/>
      <c r="D42" s="173"/>
      <c r="E42" s="497" t="s">
        <v>8</v>
      </c>
      <c r="F42" s="498"/>
      <c r="G42" s="498"/>
      <c r="H42" s="498"/>
      <c r="I42" s="498"/>
      <c r="J42" s="498"/>
      <c r="K42" s="465">
        <f>Купол!K70+'Перекрытия 1'!O22+Перекрытие2!I22+Башня!I14</f>
        <v>108</v>
      </c>
      <c r="L42" s="465"/>
      <c r="M42" s="473" t="s">
        <v>13</v>
      </c>
      <c r="N42" s="468">
        <f>P42/K42</f>
        <v>15</v>
      </c>
      <c r="O42" s="475" t="str">
        <f>IF('из города'!AG9=3,"Дол.",IF('из города'!AG9=1,"Руб.","Грн."))</f>
        <v>Грн.</v>
      </c>
      <c r="P42" s="465">
        <f>Купол!O70+'Перекрытия 1'!P22+Перекрытие2!M22+Башня!M14</f>
        <v>1620</v>
      </c>
      <c r="Q42" s="493" t="str">
        <f>IF('из города'!AG9=3,"Дол.",IF('из города'!AG9=1,"Руб.","Грн."))</f>
        <v>Грн.</v>
      </c>
      <c r="R42" s="173"/>
      <c r="S42" s="173"/>
    </row>
    <row r="43" spans="1:20" ht="9" customHeight="1">
      <c r="A43" s="118"/>
      <c r="B43" s="119"/>
      <c r="C43" s="118"/>
      <c r="D43" s="173"/>
      <c r="E43" s="497"/>
      <c r="F43" s="498"/>
      <c r="G43" s="498"/>
      <c r="H43" s="498"/>
      <c r="I43" s="498"/>
      <c r="J43" s="498"/>
      <c r="K43" s="465"/>
      <c r="L43" s="465"/>
      <c r="M43" s="473"/>
      <c r="N43" s="468"/>
      <c r="O43" s="475"/>
      <c r="P43" s="465"/>
      <c r="Q43" s="493"/>
      <c r="R43" s="173"/>
      <c r="S43" s="173"/>
    </row>
    <row r="44" spans="1:20" ht="9" customHeight="1">
      <c r="A44" s="118"/>
      <c r="B44" s="119"/>
      <c r="C44" s="118"/>
      <c r="D44" s="173"/>
      <c r="E44" s="497"/>
      <c r="F44" s="498"/>
      <c r="G44" s="498"/>
      <c r="H44" s="498"/>
      <c r="I44" s="498"/>
      <c r="J44" s="498"/>
      <c r="K44" s="465"/>
      <c r="L44" s="465"/>
      <c r="M44" s="473"/>
      <c r="N44" s="468"/>
      <c r="O44" s="476"/>
      <c r="P44" s="465"/>
      <c r="Q44" s="494"/>
      <c r="R44" s="173"/>
      <c r="S44" s="173"/>
    </row>
    <row r="45" spans="1:20" ht="9" customHeight="1">
      <c r="A45" s="118"/>
      <c r="B45" s="118"/>
      <c r="C45" s="118"/>
      <c r="D45" s="173"/>
      <c r="E45" s="495" t="s">
        <v>2141</v>
      </c>
      <c r="F45" s="496"/>
      <c r="G45" s="496"/>
      <c r="H45" s="496"/>
      <c r="I45" s="496"/>
      <c r="J45" s="496"/>
      <c r="K45" s="464">
        <f>Купол!K73+козырёк!I13</f>
        <v>91</v>
      </c>
      <c r="L45" s="464"/>
      <c r="M45" s="472" t="s">
        <v>13</v>
      </c>
      <c r="N45" s="467">
        <f>P45/K45</f>
        <v>50</v>
      </c>
      <c r="O45" s="475" t="str">
        <f>IF('из города'!AG9=3,"Дол.",IF('из города'!AG9=1,"Руб.","Грн."))</f>
        <v>Грн.</v>
      </c>
      <c r="P45" s="464">
        <f>Купол!O73+козырёк!M13</f>
        <v>4550</v>
      </c>
      <c r="Q45" s="493" t="str">
        <f>IF('из города'!AG9=3,"Дол.",IF('из города'!AG9=1,"Руб.","Грн."))</f>
        <v>Грн.</v>
      </c>
      <c r="R45" s="173"/>
      <c r="S45" s="173"/>
    </row>
    <row r="46" spans="1:20" ht="9" customHeight="1">
      <c r="A46" s="118"/>
      <c r="B46" s="118"/>
      <c r="C46" s="118"/>
      <c r="D46" s="173"/>
      <c r="E46" s="497"/>
      <c r="F46" s="498"/>
      <c r="G46" s="498"/>
      <c r="H46" s="498"/>
      <c r="I46" s="498"/>
      <c r="J46" s="498"/>
      <c r="K46" s="465"/>
      <c r="L46" s="465"/>
      <c r="M46" s="473"/>
      <c r="N46" s="468"/>
      <c r="O46" s="475"/>
      <c r="P46" s="465"/>
      <c r="Q46" s="493"/>
      <c r="R46" s="173"/>
      <c r="S46" s="173"/>
    </row>
    <row r="47" spans="1:20" ht="9" customHeight="1">
      <c r="A47" s="118"/>
      <c r="B47" s="118"/>
      <c r="C47" s="118"/>
      <c r="D47" s="173"/>
      <c r="E47" s="499"/>
      <c r="F47" s="500"/>
      <c r="G47" s="500"/>
      <c r="H47" s="500"/>
      <c r="I47" s="500"/>
      <c r="J47" s="500"/>
      <c r="K47" s="466"/>
      <c r="L47" s="466"/>
      <c r="M47" s="474"/>
      <c r="N47" s="469"/>
      <c r="O47" s="476"/>
      <c r="P47" s="466"/>
      <c r="Q47" s="494"/>
      <c r="R47" s="173"/>
      <c r="S47" s="173"/>
    </row>
    <row r="48" spans="1:20" ht="9" customHeight="1">
      <c r="A48" s="118"/>
      <c r="B48" s="118"/>
      <c r="C48" s="118"/>
      <c r="D48" s="173"/>
      <c r="E48" s="495" t="s">
        <v>9</v>
      </c>
      <c r="F48" s="496"/>
      <c r="G48" s="496"/>
      <c r="H48" s="496"/>
      <c r="I48" s="496"/>
      <c r="J48" s="496"/>
      <c r="K48" s="464">
        <f>Купол!K76+козырёк!I10+Купол!K79</f>
        <v>86</v>
      </c>
      <c r="L48" s="464"/>
      <c r="M48" s="472" t="s">
        <v>13</v>
      </c>
      <c r="N48" s="467">
        <f>P48/K48</f>
        <v>165.81395348837211</v>
      </c>
      <c r="O48" s="475" t="str">
        <f>IF('из города'!AG9=3,"Дол.",IF('из города'!AG9=1,"Руб.","Грн."))</f>
        <v>Грн.</v>
      </c>
      <c r="P48" s="464">
        <f>Купол!O76+козырёк!M10+Купол!O79</f>
        <v>14260</v>
      </c>
      <c r="Q48" s="493" t="str">
        <f>IF('из города'!AG9=3,"Дол.",IF('из города'!AG9=1,"Руб.","Грн."))</f>
        <v>Грн.</v>
      </c>
      <c r="R48" s="173"/>
      <c r="S48" s="173"/>
    </row>
    <row r="49" spans="1:25" ht="9" customHeight="1">
      <c r="A49" s="118"/>
      <c r="B49" s="118"/>
      <c r="C49" s="118"/>
      <c r="D49" s="173"/>
      <c r="E49" s="497"/>
      <c r="F49" s="498"/>
      <c r="G49" s="498"/>
      <c r="H49" s="498"/>
      <c r="I49" s="498"/>
      <c r="J49" s="498"/>
      <c r="K49" s="465"/>
      <c r="L49" s="465"/>
      <c r="M49" s="473"/>
      <c r="N49" s="468"/>
      <c r="O49" s="475"/>
      <c r="P49" s="465"/>
      <c r="Q49" s="493"/>
      <c r="R49" s="177"/>
      <c r="S49" s="177"/>
      <c r="T49" s="112"/>
      <c r="U49" s="112"/>
      <c r="V49" s="112"/>
      <c r="W49" s="112"/>
      <c r="X49" s="112"/>
    </row>
    <row r="50" spans="1:25" ht="9" customHeight="1">
      <c r="A50" s="118"/>
      <c r="B50" s="118"/>
      <c r="C50" s="118"/>
      <c r="D50" s="173"/>
      <c r="E50" s="499"/>
      <c r="F50" s="500"/>
      <c r="G50" s="500"/>
      <c r="H50" s="500"/>
      <c r="I50" s="500"/>
      <c r="J50" s="500"/>
      <c r="K50" s="466"/>
      <c r="L50" s="466"/>
      <c r="M50" s="474"/>
      <c r="N50" s="469"/>
      <c r="O50" s="476"/>
      <c r="P50" s="466"/>
      <c r="Q50" s="494"/>
      <c r="R50" s="177"/>
      <c r="S50" s="177"/>
      <c r="T50" s="112"/>
      <c r="U50" s="112"/>
      <c r="V50" s="112"/>
      <c r="W50" s="112"/>
      <c r="X50" s="112"/>
    </row>
    <row r="51" spans="1:25" ht="9" customHeight="1">
      <c r="A51" s="118"/>
      <c r="B51" s="118"/>
      <c r="C51" s="118"/>
      <c r="D51" s="173"/>
      <c r="E51" s="518" t="s">
        <v>2767</v>
      </c>
      <c r="F51" s="496"/>
      <c r="G51" s="496"/>
      <c r="H51" s="496"/>
      <c r="I51" s="496"/>
      <c r="J51" s="496"/>
      <c r="K51" s="464">
        <f>'Стены 1'!K12+Стены2!K9</f>
        <v>2</v>
      </c>
      <c r="L51" s="464"/>
      <c r="M51" s="472" t="s">
        <v>20</v>
      </c>
      <c r="N51" s="467">
        <f>P51/K51</f>
        <v>350</v>
      </c>
      <c r="O51" s="475" t="str">
        <f>IF('из города'!AG9=3,"Дол.",IF('из города'!AG9=1,"Руб.","Грн."))</f>
        <v>Грн.</v>
      </c>
      <c r="P51" s="464">
        <f>Перекрытие2!AI30+'Стены 1'!X9+Стены2!O9</f>
        <v>700</v>
      </c>
      <c r="Q51" s="493" t="str">
        <f>IF('из города'!AG9=3,"Дол.",IF('из города'!AG9=1,"Руб.","Грн."))</f>
        <v>Грн.</v>
      </c>
      <c r="R51" s="177"/>
      <c r="S51" s="177"/>
      <c r="T51" s="112"/>
      <c r="U51" s="112"/>
      <c r="V51" s="112"/>
      <c r="W51" s="112"/>
      <c r="X51" s="112"/>
    </row>
    <row r="52" spans="1:25" ht="9" customHeight="1">
      <c r="A52" s="118"/>
      <c r="B52" s="118"/>
      <c r="C52" s="118"/>
      <c r="D52" s="173"/>
      <c r="E52" s="497"/>
      <c r="F52" s="498"/>
      <c r="G52" s="498"/>
      <c r="H52" s="498"/>
      <c r="I52" s="498"/>
      <c r="J52" s="498"/>
      <c r="K52" s="465"/>
      <c r="L52" s="465"/>
      <c r="M52" s="473"/>
      <c r="N52" s="468"/>
      <c r="O52" s="475"/>
      <c r="P52" s="465"/>
      <c r="Q52" s="493"/>
      <c r="R52" s="177"/>
      <c r="S52" s="177"/>
      <c r="T52" s="112"/>
      <c r="U52" s="112"/>
      <c r="V52" s="112"/>
      <c r="W52" s="112"/>
      <c r="X52" s="112"/>
    </row>
    <row r="53" spans="1:25" ht="9" customHeight="1">
      <c r="A53" s="118"/>
      <c r="B53" s="118"/>
      <c r="C53" s="118"/>
      <c r="D53" s="173"/>
      <c r="E53" s="499"/>
      <c r="F53" s="500"/>
      <c r="G53" s="500"/>
      <c r="H53" s="500"/>
      <c r="I53" s="500"/>
      <c r="J53" s="500"/>
      <c r="K53" s="466"/>
      <c r="L53" s="466"/>
      <c r="M53" s="474"/>
      <c r="N53" s="469"/>
      <c r="O53" s="476"/>
      <c r="P53" s="466"/>
      <c r="Q53" s="494"/>
      <c r="R53" s="173"/>
      <c r="S53" s="173"/>
    </row>
    <row r="54" spans="1:25" ht="9" customHeight="1">
      <c r="A54" s="118"/>
      <c r="B54" s="118"/>
      <c r="C54" s="118"/>
      <c r="D54" s="173"/>
      <c r="E54" s="518" t="s">
        <v>22</v>
      </c>
      <c r="F54" s="496"/>
      <c r="G54" s="496"/>
      <c r="H54" s="496"/>
      <c r="I54" s="496"/>
      <c r="J54" s="496"/>
      <c r="K54" s="464">
        <f>'Смета фунд.'!T13</f>
        <v>1.3927818033456389</v>
      </c>
      <c r="L54" s="464"/>
      <c r="M54" s="472" t="s">
        <v>14</v>
      </c>
      <c r="N54" s="467">
        <f>P54/K54</f>
        <v>1400</v>
      </c>
      <c r="O54" s="475" t="str">
        <f>IF('из города'!AG9=3,"Дол.",IF('из города'!AG9=1,"Руб.","Грн."))</f>
        <v>Грн.</v>
      </c>
      <c r="P54" s="464">
        <f>'Смета фунд.'!U13</f>
        <v>1949.8945246838946</v>
      </c>
      <c r="Q54" s="493" t="str">
        <f>IF('из города'!AG9=3,"Дол.",IF('из города'!AG9=1,"Руб.","Грн."))</f>
        <v>Грн.</v>
      </c>
      <c r="R54" s="177"/>
      <c r="S54" s="177"/>
      <c r="T54" s="112"/>
      <c r="U54" s="112"/>
      <c r="V54" s="112"/>
      <c r="W54" s="112"/>
      <c r="X54" s="112"/>
    </row>
    <row r="55" spans="1:25" ht="9" customHeight="1">
      <c r="A55" s="118"/>
      <c r="B55" s="118"/>
      <c r="C55" s="118"/>
      <c r="D55" s="173"/>
      <c r="E55" s="497"/>
      <c r="F55" s="498"/>
      <c r="G55" s="498"/>
      <c r="H55" s="498"/>
      <c r="I55" s="498"/>
      <c r="J55" s="498"/>
      <c r="K55" s="465"/>
      <c r="L55" s="465"/>
      <c r="M55" s="473"/>
      <c r="N55" s="468"/>
      <c r="O55" s="475"/>
      <c r="P55" s="465"/>
      <c r="Q55" s="493"/>
      <c r="R55" s="177"/>
      <c r="S55" s="177"/>
      <c r="T55" s="112"/>
      <c r="U55" s="112"/>
      <c r="V55" s="112"/>
      <c r="W55" s="112"/>
      <c r="X55" s="112"/>
    </row>
    <row r="56" spans="1:25" ht="9" customHeight="1">
      <c r="A56" s="118"/>
      <c r="B56" s="118"/>
      <c r="C56" s="118"/>
      <c r="D56" s="173"/>
      <c r="E56" s="499"/>
      <c r="F56" s="500"/>
      <c r="G56" s="500"/>
      <c r="H56" s="500"/>
      <c r="I56" s="500"/>
      <c r="J56" s="500"/>
      <c r="K56" s="466"/>
      <c r="L56" s="466"/>
      <c r="M56" s="474"/>
      <c r="N56" s="469"/>
      <c r="O56" s="476"/>
      <c r="P56" s="466"/>
      <c r="Q56" s="494"/>
      <c r="R56" s="177"/>
      <c r="S56" s="177"/>
      <c r="T56" s="112"/>
      <c r="U56" s="112"/>
      <c r="V56" s="112"/>
      <c r="W56" s="112"/>
      <c r="X56" s="112"/>
    </row>
    <row r="57" spans="1:25" ht="9" customHeight="1">
      <c r="A57" s="118"/>
      <c r="B57" s="118"/>
      <c r="C57" s="118"/>
      <c r="D57" s="173"/>
      <c r="E57" s="518" t="s">
        <v>2136</v>
      </c>
      <c r="F57" s="496"/>
      <c r="G57" s="496"/>
      <c r="H57" s="496"/>
      <c r="I57" s="496"/>
      <c r="J57" s="496"/>
      <c r="K57" s="464">
        <f>'Смета фунд.'!T7+'Смета фунд.'!T10</f>
        <v>53.284740322036711</v>
      </c>
      <c r="L57" s="464"/>
      <c r="M57" s="472" t="s">
        <v>12</v>
      </c>
      <c r="N57" s="467">
        <f>P57/K57</f>
        <v>20</v>
      </c>
      <c r="O57" s="475" t="str">
        <f>IF('из города'!AG9=3,"Дол.",IF('из города'!AG9=1,"Руб.","Грн."))</f>
        <v>Грн.</v>
      </c>
      <c r="P57" s="464">
        <f>'Смета фунд.'!U7+'Смета фунд.'!U10</f>
        <v>1065.6948064407343</v>
      </c>
      <c r="Q57" s="493" t="str">
        <f>IF('из города'!AG9=3,"Дол.",IF('из города'!AG9=1,"Руб.","Грн."))</f>
        <v>Грн.</v>
      </c>
      <c r="R57" s="173"/>
      <c r="S57" s="173"/>
    </row>
    <row r="58" spans="1:25" ht="9" customHeight="1">
      <c r="A58" s="118"/>
      <c r="B58" s="118"/>
      <c r="C58" s="118"/>
      <c r="D58" s="173"/>
      <c r="E58" s="497"/>
      <c r="F58" s="498"/>
      <c r="G58" s="498"/>
      <c r="H58" s="498"/>
      <c r="I58" s="498"/>
      <c r="J58" s="498"/>
      <c r="K58" s="465"/>
      <c r="L58" s="465"/>
      <c r="M58" s="473"/>
      <c r="N58" s="468"/>
      <c r="O58" s="475"/>
      <c r="P58" s="465"/>
      <c r="Q58" s="493"/>
      <c r="R58" s="173"/>
      <c r="S58" s="173"/>
    </row>
    <row r="59" spans="1:25" ht="9" customHeight="1">
      <c r="A59" s="118"/>
      <c r="B59" s="118"/>
      <c r="C59" s="118"/>
      <c r="D59" s="173"/>
      <c r="E59" s="499"/>
      <c r="F59" s="500"/>
      <c r="G59" s="500"/>
      <c r="H59" s="500"/>
      <c r="I59" s="500"/>
      <c r="J59" s="500"/>
      <c r="K59" s="466"/>
      <c r="L59" s="466"/>
      <c r="M59" s="474"/>
      <c r="N59" s="469"/>
      <c r="O59" s="476"/>
      <c r="P59" s="466"/>
      <c r="Q59" s="494"/>
      <c r="R59" s="173"/>
      <c r="S59" s="173"/>
      <c r="Y59" s="112"/>
    </row>
    <row r="60" spans="1:25" ht="33.5" customHeight="1">
      <c r="A60" s="118"/>
      <c r="B60" s="118"/>
      <c r="C60" s="118"/>
      <c r="D60" s="173"/>
      <c r="E60" s="523" t="s">
        <v>15</v>
      </c>
      <c r="F60" s="523"/>
      <c r="G60" s="523"/>
      <c r="H60" s="523"/>
      <c r="I60" s="523"/>
      <c r="J60" s="523"/>
      <c r="K60" s="524">
        <f>O60/O9</f>
        <v>5983.2239999999983</v>
      </c>
      <c r="L60" s="524"/>
      <c r="M60" s="423" t="s">
        <v>17</v>
      </c>
      <c r="N60" s="196"/>
      <c r="O60" s="524">
        <f>'Смета фунд.'!T145+Купол!O220+козырёк!M83+'Перекрытия 1'!O81+Перекрытие2!M90+'Стены 1'!Q38+Стены2!O31+Башня!M41+Окна!M40+P36</f>
        <v>155563.82399999996</v>
      </c>
      <c r="P60" s="524"/>
      <c r="Q60" s="424" t="str">
        <f>IF('из города'!AG9=3,"Дол.",IF('из города'!AG9=1,"Руб.","Грн."))</f>
        <v>Грн.</v>
      </c>
      <c r="R60" s="174"/>
      <c r="S60" s="173"/>
    </row>
    <row r="61" spans="1:25" ht="33.5" customHeight="1">
      <c r="A61" s="118"/>
      <c r="B61" s="118"/>
      <c r="C61" s="118"/>
      <c r="D61" s="173"/>
      <c r="E61" s="523" t="s">
        <v>2718</v>
      </c>
      <c r="F61" s="523"/>
      <c r="G61" s="523"/>
      <c r="H61" s="523"/>
      <c r="I61" s="523"/>
      <c r="J61" s="523"/>
      <c r="K61" s="524">
        <f>O61/O9</f>
        <v>0</v>
      </c>
      <c r="L61" s="524"/>
      <c r="M61" s="423" t="s">
        <v>17</v>
      </c>
      <c r="N61" s="196"/>
      <c r="O61" s="524">
        <f>'Смета фунд.'!T159+Купол!O260+козырёк!M103+'Перекрытия 1'!O109+Перекрытие2!M126+'Стены 1'!Q72+Стены2!O63+Башня!M73+Окна!M60</f>
        <v>0</v>
      </c>
      <c r="P61" s="524"/>
      <c r="Q61" s="424" t="str">
        <f>IF('из города'!AG10=3,"Дол.",IF('из города'!AG10=1,"Руб.","Грн."))</f>
        <v>Грн.</v>
      </c>
      <c r="R61" s="174"/>
      <c r="S61" s="173"/>
    </row>
    <row r="62" spans="1:25" s="417" customFormat="1" ht="13" customHeight="1">
      <c r="A62" s="118"/>
      <c r="B62" s="118"/>
      <c r="C62" s="118"/>
      <c r="D62" s="173"/>
      <c r="E62" s="522"/>
      <c r="F62" s="522"/>
      <c r="G62" s="522"/>
      <c r="H62" s="522"/>
      <c r="I62" s="522"/>
      <c r="J62" s="522"/>
      <c r="K62" s="522"/>
      <c r="L62" s="522"/>
      <c r="M62" s="522"/>
      <c r="N62" s="522"/>
      <c r="O62" s="522"/>
      <c r="P62" s="522"/>
      <c r="Q62" s="522"/>
      <c r="R62" s="174"/>
      <c r="S62" s="173"/>
    </row>
    <row r="63" spans="1:25" ht="15" customHeight="1">
      <c r="E63" s="117"/>
      <c r="F63" s="117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73"/>
      <c r="S63" s="173"/>
    </row>
    <row r="64" spans="1:25" ht="21" customHeight="1">
      <c r="E64" s="197"/>
      <c r="F64" s="198"/>
      <c r="G64" s="521"/>
      <c r="H64" s="521"/>
      <c r="I64" s="521"/>
      <c r="J64" s="521"/>
      <c r="K64" s="521"/>
      <c r="L64" s="521"/>
      <c r="M64" s="521"/>
      <c r="N64" s="521"/>
      <c r="O64" s="521"/>
      <c r="P64" s="521"/>
      <c r="Q64" s="521"/>
      <c r="R64" s="175"/>
      <c r="S64" s="175"/>
    </row>
    <row r="65" spans="5:20" ht="14.5" customHeight="1">
      <c r="E65" s="198"/>
      <c r="F65" s="198"/>
      <c r="G65" s="521"/>
      <c r="H65" s="521"/>
      <c r="I65" s="521"/>
      <c r="J65" s="521"/>
      <c r="K65" s="521"/>
      <c r="L65" s="521"/>
      <c r="M65" s="521"/>
      <c r="N65" s="521"/>
      <c r="O65" s="521"/>
      <c r="P65" s="521"/>
      <c r="Q65" s="521"/>
      <c r="R65" s="175"/>
      <c r="S65" s="175"/>
    </row>
    <row r="66" spans="5:20"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203"/>
      <c r="Q66" s="203"/>
    </row>
    <row r="67" spans="5:20"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</row>
    <row r="68" spans="5:20">
      <c r="E68" s="181"/>
      <c r="F68" s="181"/>
      <c r="G68" s="181"/>
      <c r="H68" s="181"/>
      <c r="I68" s="181"/>
      <c r="J68" s="181"/>
      <c r="K68" s="181"/>
      <c r="L68" s="182"/>
      <c r="M68" s="181"/>
      <c r="N68" s="181"/>
      <c r="O68" s="181"/>
      <c r="P68" s="182"/>
      <c r="Q68" s="182"/>
    </row>
    <row r="69" spans="5:20"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T69" s="173"/>
    </row>
    <row r="70" spans="5:20" ht="14.5" customHeight="1"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2"/>
      <c r="P70" s="183"/>
      <c r="Q70" s="184"/>
    </row>
    <row r="71" spans="5:20" ht="14.5" customHeight="1"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</row>
    <row r="72" spans="5:20" ht="14.5" customHeight="1">
      <c r="E72" s="181"/>
      <c r="F72" s="181"/>
      <c r="G72" s="181"/>
      <c r="H72" s="181"/>
      <c r="I72" s="181"/>
      <c r="J72" s="181"/>
      <c r="K72" s="181"/>
      <c r="L72" s="181"/>
      <c r="M72" s="181"/>
      <c r="Q72" s="184"/>
    </row>
    <row r="73" spans="5:20" ht="14.5" customHeight="1">
      <c r="E73" s="181"/>
      <c r="F73" s="181"/>
      <c r="G73" s="181"/>
      <c r="H73" s="181"/>
      <c r="I73" s="181"/>
      <c r="J73" s="181"/>
      <c r="K73" s="181"/>
      <c r="L73" s="181"/>
      <c r="M73" s="181"/>
      <c r="Q73" s="181"/>
    </row>
    <row r="74" spans="5:20" ht="14.5" customHeight="1">
      <c r="E74" s="181"/>
      <c r="F74" s="181"/>
      <c r="G74" s="181"/>
      <c r="H74" s="181"/>
      <c r="I74" s="181"/>
      <c r="J74" s="181"/>
      <c r="K74" s="181"/>
      <c r="L74" s="181"/>
      <c r="M74" s="181"/>
      <c r="Q74" s="184"/>
    </row>
    <row r="75" spans="5:20" ht="14.5" customHeight="1">
      <c r="E75" s="181"/>
      <c r="F75" s="181"/>
      <c r="G75" s="181"/>
      <c r="H75" s="181"/>
      <c r="I75" s="181"/>
      <c r="J75" s="181"/>
      <c r="K75" s="181"/>
      <c r="L75" s="181"/>
      <c r="M75" s="181"/>
      <c r="Q75" s="181"/>
    </row>
    <row r="76" spans="5:20">
      <c r="E76" s="181"/>
      <c r="F76" s="181"/>
      <c r="G76" s="181"/>
      <c r="H76" s="181"/>
      <c r="I76" s="181"/>
      <c r="J76" s="181"/>
      <c r="K76" s="181"/>
      <c r="L76" s="181"/>
      <c r="M76" s="181"/>
      <c r="Q76" s="182"/>
    </row>
    <row r="77" spans="5:20">
      <c r="E77" s="181"/>
      <c r="F77" s="181"/>
      <c r="G77" s="181"/>
      <c r="H77" s="181"/>
      <c r="I77" s="181"/>
      <c r="J77" s="181"/>
      <c r="K77" s="181"/>
      <c r="L77" s="181"/>
      <c r="M77" s="181"/>
      <c r="Q77" s="181"/>
    </row>
    <row r="78" spans="5:20"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3"/>
      <c r="Q78" s="184"/>
    </row>
    <row r="79" spans="5:20"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</row>
    <row r="80" spans="5:20"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3"/>
      <c r="Q80" s="184"/>
    </row>
    <row r="81" spans="5:19"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</row>
    <row r="82" spans="5:19"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3"/>
      <c r="Q82" s="184"/>
    </row>
    <row r="83" spans="5:19"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</row>
    <row r="84" spans="5:19"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3"/>
      <c r="Q84" s="184"/>
    </row>
    <row r="85" spans="5:19"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73"/>
      <c r="S85" s="173"/>
    </row>
    <row r="86" spans="5:19"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73"/>
      <c r="S86" s="173"/>
    </row>
    <row r="87" spans="5:19"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73"/>
      <c r="S87" s="173"/>
    </row>
    <row r="88" spans="5:19">
      <c r="F88" s="116"/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</row>
  </sheetData>
  <sheetProtection password="C665" sheet="1" objects="1" scenarios="1" selectLockedCells="1"/>
  <mergeCells count="123">
    <mergeCell ref="N2:O2"/>
    <mergeCell ref="G64:Q65"/>
    <mergeCell ref="E62:Q62"/>
    <mergeCell ref="Q51:Q53"/>
    <mergeCell ref="Q54:Q56"/>
    <mergeCell ref="Q57:Q59"/>
    <mergeCell ref="P54:P56"/>
    <mergeCell ref="E57:J59"/>
    <mergeCell ref="K57:L59"/>
    <mergeCell ref="E60:J60"/>
    <mergeCell ref="K60:L60"/>
    <mergeCell ref="O60:P60"/>
    <mergeCell ref="E61:J61"/>
    <mergeCell ref="K61:L61"/>
    <mergeCell ref="O61:P61"/>
    <mergeCell ref="M57:M59"/>
    <mergeCell ref="N57:N59"/>
    <mergeCell ref="O57:O59"/>
    <mergeCell ref="E15:J17"/>
    <mergeCell ref="K15:L17"/>
    <mergeCell ref="M15:M17"/>
    <mergeCell ref="N15:N17"/>
    <mergeCell ref="O15:O17"/>
    <mergeCell ref="M51:M53"/>
    <mergeCell ref="P57:P59"/>
    <mergeCell ref="E48:J50"/>
    <mergeCell ref="M27:M29"/>
    <mergeCell ref="P27:P29"/>
    <mergeCell ref="E42:J44"/>
    <mergeCell ref="K42:L44"/>
    <mergeCell ref="K30:L32"/>
    <mergeCell ref="O33:O35"/>
    <mergeCell ref="P33:P35"/>
    <mergeCell ref="N54:N56"/>
    <mergeCell ref="O51:O53"/>
    <mergeCell ref="P51:P53"/>
    <mergeCell ref="M54:M56"/>
    <mergeCell ref="E54:J56"/>
    <mergeCell ref="K54:L56"/>
    <mergeCell ref="O54:O56"/>
    <mergeCell ref="N30:N32"/>
    <mergeCell ref="O30:O32"/>
    <mergeCell ref="E51:J53"/>
    <mergeCell ref="E27:J29"/>
    <mergeCell ref="K27:L29"/>
    <mergeCell ref="N27:N29"/>
    <mergeCell ref="E30:J32"/>
    <mergeCell ref="K51:L53"/>
    <mergeCell ref="E24:J26"/>
    <mergeCell ref="K24:L26"/>
    <mergeCell ref="M24:M26"/>
    <mergeCell ref="N24:N26"/>
    <mergeCell ref="K48:L50"/>
    <mergeCell ref="E45:J47"/>
    <mergeCell ref="M48:M50"/>
    <mergeCell ref="K45:L47"/>
    <mergeCell ref="M45:M47"/>
    <mergeCell ref="E39:J41"/>
    <mergeCell ref="K39:L41"/>
    <mergeCell ref="M42:M44"/>
    <mergeCell ref="N42:N44"/>
    <mergeCell ref="N48:N50"/>
    <mergeCell ref="N51:N53"/>
    <mergeCell ref="Q48:Q50"/>
    <mergeCell ref="Q15:Q17"/>
    <mergeCell ref="Q21:Q23"/>
    <mergeCell ref="Q18:Q20"/>
    <mergeCell ref="Q24:Q26"/>
    <mergeCell ref="P24:P26"/>
    <mergeCell ref="O18:O20"/>
    <mergeCell ref="P18:P20"/>
    <mergeCell ref="O45:O47"/>
    <mergeCell ref="Q45:Q47"/>
    <mergeCell ref="O42:O44"/>
    <mergeCell ref="P42:P44"/>
    <mergeCell ref="Q42:Q44"/>
    <mergeCell ref="O21:O23"/>
    <mergeCell ref="P39:P41"/>
    <mergeCell ref="O24:O26"/>
    <mergeCell ref="P15:P17"/>
    <mergeCell ref="Q30:Q32"/>
    <mergeCell ref="Q27:Q29"/>
    <mergeCell ref="O27:O29"/>
    <mergeCell ref="P30:P32"/>
    <mergeCell ref="Q39:Q41"/>
    <mergeCell ref="O48:O50"/>
    <mergeCell ref="P48:P50"/>
    <mergeCell ref="E7:Q8"/>
    <mergeCell ref="M9:M10"/>
    <mergeCell ref="O9:O10"/>
    <mergeCell ref="N12:O14"/>
    <mergeCell ref="P12:Q14"/>
    <mergeCell ref="Q33:Q35"/>
    <mergeCell ref="E33:J35"/>
    <mergeCell ref="K33:L35"/>
    <mergeCell ref="Q36:Q38"/>
    <mergeCell ref="M36:O38"/>
    <mergeCell ref="E21:J23"/>
    <mergeCell ref="K21:L23"/>
    <mergeCell ref="M21:M23"/>
    <mergeCell ref="N21:N23"/>
    <mergeCell ref="E18:J20"/>
    <mergeCell ref="K18:L20"/>
    <mergeCell ref="M18:M20"/>
    <mergeCell ref="N18:N20"/>
    <mergeCell ref="E12:J14"/>
    <mergeCell ref="E9:H10"/>
    <mergeCell ref="K9:L10"/>
    <mergeCell ref="P36:P38"/>
    <mergeCell ref="E36:J38"/>
    <mergeCell ref="K36:L38"/>
    <mergeCell ref="P45:P47"/>
    <mergeCell ref="N45:N47"/>
    <mergeCell ref="N9:N10"/>
    <mergeCell ref="P9:P10"/>
    <mergeCell ref="M39:M41"/>
    <mergeCell ref="N39:N41"/>
    <mergeCell ref="O39:O41"/>
    <mergeCell ref="K12:M14"/>
    <mergeCell ref="M33:M35"/>
    <mergeCell ref="N33:N35"/>
    <mergeCell ref="P21:P23"/>
    <mergeCell ref="M30:M32"/>
  </mergeCells>
  <hyperlinks>
    <hyperlink ref="H2" location="Купол!A1" display="Купол"/>
    <hyperlink ref="I2" location="козырёк!A1" display="Козырьки"/>
    <hyperlink ref="K2" location="'Стены 1'!A1" display="Стены 1"/>
    <hyperlink ref="L2" location="Перекрытие2!A1" display="Перекрытие 2"/>
    <hyperlink ref="M2" location="Стены2!A1" display="Стены 2"/>
    <hyperlink ref="N2" location="Башня!A1" display="Обзорная башня"/>
    <hyperlink ref="Q2" location="Доставка!A1" display="Окна"/>
    <hyperlink ref="G2" location="'Смета фунд.'!A1" display="Смета фундамента"/>
    <hyperlink ref="P2" location="Окна!A1" display="Окна"/>
    <hyperlink ref="E2" location="Главная!A1" display="Главная"/>
    <hyperlink ref="J2" location="'Перекрытия 1'!A1" display="Перекр.1"/>
    <hyperlink ref="F2" location="'Район фунд.'!A1" display="Район фундамента"/>
  </hyperlinks>
  <pageMargins left="0.7" right="0.7" top="0.75" bottom="0.75" header="0.3" footer="0.3"/>
  <pageSetup paperSize="9" orientation="portrait" verticalDpi="3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1"/>
  <dimension ref="A1:AY4000"/>
  <sheetViews>
    <sheetView showGridLines="0" showRowColHeaders="0" showRuler="0" showWhiteSpace="0" topLeftCell="D1" zoomScaleSheetLayoutView="110" zoomScalePageLayoutView="90" workbookViewId="0">
      <pane ySplit="1" topLeftCell="A2" activePane="bottomLeft" state="frozen"/>
      <selection activeCell="D1" sqref="D1"/>
      <selection pane="bottomLeft" activeCell="F1" sqref="F1"/>
    </sheetView>
  </sheetViews>
  <sheetFormatPr defaultColWidth="9.1796875" defaultRowHeight="11.25" customHeight="1"/>
  <cols>
    <col min="1" max="1" width="5" style="27" hidden="1" customWidth="1"/>
    <col min="2" max="3" width="4" style="27" hidden="1" customWidth="1"/>
    <col min="4" max="4" width="1.7265625" style="27" customWidth="1"/>
    <col min="5" max="5" width="5.1796875" style="27" customWidth="1"/>
    <col min="6" max="14" width="9" style="25" customWidth="1"/>
    <col min="15" max="18" width="9" style="26" customWidth="1"/>
    <col min="19" max="19" width="2" style="25" customWidth="1"/>
    <col min="20" max="20" width="2.1796875" style="25" customWidth="1"/>
    <col min="21" max="21" width="4.1796875" style="25" customWidth="1"/>
    <col min="22" max="22" width="6.1796875" style="25" customWidth="1"/>
    <col min="23" max="23" width="5.81640625" style="25" customWidth="1"/>
    <col min="24" max="24" width="5.54296875" style="25" customWidth="1"/>
    <col min="25" max="25" width="7" style="25" customWidth="1"/>
    <col min="26" max="34" width="5.54296875" style="25" customWidth="1"/>
    <col min="35" max="35" width="6.54296875" style="25" customWidth="1"/>
    <col min="36" max="49" width="4.1796875" style="25" customWidth="1"/>
    <col min="50" max="16384" width="9.1796875" style="25"/>
  </cols>
  <sheetData>
    <row r="1" spans="1:40" ht="21.5" customHeight="1" thickTop="1" thickBot="1">
      <c r="D1" s="28"/>
      <c r="E1" s="213"/>
      <c r="F1" s="204" t="s">
        <v>2612</v>
      </c>
      <c r="G1" s="323" t="s">
        <v>2682</v>
      </c>
      <c r="H1" s="277" t="s">
        <v>2662</v>
      </c>
      <c r="I1" s="204" t="s">
        <v>2603</v>
      </c>
      <c r="J1" s="205" t="s">
        <v>2604</v>
      </c>
      <c r="K1" s="205" t="s">
        <v>2613</v>
      </c>
      <c r="L1" s="204" t="s">
        <v>2607</v>
      </c>
      <c r="M1" s="205" t="s">
        <v>2614</v>
      </c>
      <c r="N1" s="205" t="s">
        <v>2608</v>
      </c>
      <c r="O1" s="519" t="s">
        <v>2605</v>
      </c>
      <c r="P1" s="520"/>
      <c r="Q1" s="205" t="s">
        <v>2606</v>
      </c>
      <c r="R1" s="205" t="s">
        <v>2634</v>
      </c>
      <c r="S1" s="212"/>
      <c r="T1" s="226"/>
      <c r="U1" s="227"/>
      <c r="V1" s="227"/>
      <c r="W1" s="227"/>
      <c r="X1" s="227"/>
      <c r="Y1" s="227"/>
      <c r="Z1" s="227"/>
      <c r="AA1" s="227"/>
      <c r="AB1" s="227"/>
    </row>
    <row r="2" spans="1:40" ht="3.5" hidden="1" customHeight="1" thickTop="1">
      <c r="D2" s="51"/>
      <c r="E2" s="28"/>
      <c r="F2" s="124"/>
      <c r="G2" s="124"/>
      <c r="H2" s="124"/>
      <c r="I2" s="124"/>
      <c r="J2" s="124"/>
      <c r="K2" s="124"/>
      <c r="L2" s="124"/>
      <c r="M2" s="124"/>
      <c r="N2" s="124"/>
      <c r="O2" s="67"/>
      <c r="P2" s="67"/>
      <c r="Q2" s="67"/>
      <c r="R2" s="67"/>
      <c r="S2" s="124"/>
      <c r="T2" s="227"/>
      <c r="U2" s="228">
        <f>VLOOKUP(C5,Ср.мес.Т!A1:BP1310,A5)</f>
        <v>423</v>
      </c>
      <c r="V2" s="228">
        <f>VLOOKUP(C6,Ср.мес.Т!A2:BP1311,A6)</f>
        <v>633</v>
      </c>
      <c r="W2" s="227"/>
      <c r="X2" s="227"/>
      <c r="Y2" s="227"/>
      <c r="Z2" s="227"/>
      <c r="AA2" s="227"/>
      <c r="AB2" s="227"/>
    </row>
    <row r="3" spans="1:40" ht="14" customHeight="1" thickTop="1">
      <c r="A3" s="47"/>
      <c r="B3" s="52"/>
      <c r="C3" s="52"/>
      <c r="D3" s="51"/>
      <c r="E3" s="51"/>
      <c r="F3" s="586" t="s">
        <v>2033</v>
      </c>
      <c r="G3" s="586"/>
      <c r="H3" s="586"/>
      <c r="I3" s="207"/>
      <c r="J3" s="206"/>
      <c r="K3" s="586" t="s">
        <v>2615</v>
      </c>
      <c r="L3" s="586"/>
      <c r="M3" s="586"/>
      <c r="N3" s="586"/>
      <c r="O3" s="206"/>
      <c r="P3" s="122"/>
      <c r="Q3" s="122"/>
      <c r="R3" s="122"/>
      <c r="S3" s="51"/>
      <c r="T3" s="229"/>
      <c r="U3" s="229"/>
      <c r="V3" s="229"/>
      <c r="W3" s="227"/>
      <c r="X3" s="227"/>
      <c r="Y3" s="227"/>
      <c r="Z3" s="229"/>
      <c r="AA3" s="229"/>
      <c r="AB3" s="229"/>
      <c r="AC3" s="54"/>
      <c r="AD3" s="54"/>
      <c r="AE3" s="54"/>
      <c r="AF3" s="54"/>
      <c r="AK3" s="66"/>
      <c r="AL3" s="60"/>
      <c r="AM3" s="60"/>
      <c r="AN3" s="59"/>
    </row>
    <row r="4" spans="1:40" ht="14" customHeight="1" thickBot="1">
      <c r="A4" s="47"/>
      <c r="B4" s="52"/>
      <c r="C4" s="52"/>
      <c r="D4" s="51"/>
      <c r="E4" s="51"/>
      <c r="F4" s="586"/>
      <c r="G4" s="586"/>
      <c r="H4" s="586"/>
      <c r="I4" s="207"/>
      <c r="J4" s="206"/>
      <c r="K4" s="586"/>
      <c r="L4" s="586"/>
      <c r="M4" s="586"/>
      <c r="N4" s="586"/>
      <c r="O4" s="206"/>
      <c r="P4" s="122"/>
      <c r="Q4" s="122"/>
      <c r="R4" s="122"/>
      <c r="S4" s="51"/>
      <c r="T4" s="229"/>
      <c r="U4" s="229"/>
      <c r="V4" s="229"/>
      <c r="W4" s="229"/>
      <c r="X4" s="229"/>
      <c r="Y4" s="229"/>
      <c r="Z4" s="229"/>
      <c r="AA4" s="229"/>
      <c r="AB4" s="229"/>
      <c r="AC4" s="54"/>
      <c r="AD4" s="54"/>
      <c r="AE4" s="54"/>
      <c r="AF4" s="54"/>
      <c r="AK4" s="54"/>
      <c r="AL4" s="54"/>
      <c r="AM4" s="60"/>
      <c r="AN4" s="59"/>
    </row>
    <row r="5" spans="1:40" ht="14" hidden="1" customHeight="1">
      <c r="A5" s="47">
        <v>1</v>
      </c>
      <c r="B5" s="52"/>
      <c r="C5" s="52">
        <v>423</v>
      </c>
      <c r="D5" s="51"/>
      <c r="E5" s="51"/>
      <c r="F5" s="65"/>
      <c r="G5" s="65"/>
      <c r="H5" s="65"/>
      <c r="I5" s="65"/>
      <c r="J5" s="65"/>
      <c r="K5" s="65"/>
      <c r="L5" s="65"/>
      <c r="M5" s="65"/>
      <c r="N5" s="65"/>
      <c r="P5" s="64"/>
      <c r="Q5" s="64"/>
      <c r="R5" s="64"/>
      <c r="S5" s="51"/>
      <c r="T5" s="230"/>
      <c r="U5" s="229"/>
      <c r="V5" s="229"/>
      <c r="W5" s="229"/>
      <c r="X5" s="229"/>
      <c r="Y5" s="229"/>
      <c r="Z5" s="229"/>
      <c r="AA5" s="229"/>
      <c r="AB5" s="229"/>
      <c r="AC5" s="54"/>
      <c r="AD5" s="56"/>
      <c r="AE5" s="56"/>
      <c r="AF5" s="54"/>
      <c r="AK5" s="54"/>
      <c r="AL5" s="54"/>
      <c r="AM5" s="60"/>
      <c r="AN5" s="59"/>
    </row>
    <row r="6" spans="1:40" ht="14" hidden="1" customHeight="1" thickBot="1">
      <c r="A6" s="47">
        <f t="shared" ref="A6:A12" si="0">A5+1</f>
        <v>2</v>
      </c>
      <c r="B6" s="52"/>
      <c r="C6" s="52">
        <f t="shared" ref="C6:C12" si="1">C5</f>
        <v>423</v>
      </c>
      <c r="D6" s="51"/>
      <c r="E6" s="51"/>
      <c r="F6" s="65"/>
      <c r="G6" s="65"/>
      <c r="H6" s="65"/>
      <c r="I6" s="65"/>
      <c r="J6" s="65"/>
      <c r="K6" s="65"/>
      <c r="L6" s="65"/>
      <c r="M6" s="65"/>
      <c r="N6" s="65"/>
      <c r="P6" s="64"/>
      <c r="Q6" s="64"/>
      <c r="R6" s="64"/>
      <c r="S6" s="51"/>
      <c r="T6" s="230"/>
      <c r="U6" s="229"/>
      <c r="V6" s="229"/>
      <c r="W6" s="229"/>
      <c r="X6" s="229"/>
      <c r="Y6" s="229"/>
      <c r="Z6" s="229"/>
      <c r="AA6" s="229"/>
      <c r="AB6" s="229"/>
      <c r="AC6" s="54"/>
      <c r="AD6" s="56"/>
      <c r="AE6" s="56"/>
      <c r="AF6" s="54"/>
      <c r="AK6" s="54"/>
      <c r="AL6" s="54"/>
      <c r="AM6" s="60"/>
      <c r="AN6" s="59"/>
    </row>
    <row r="7" spans="1:40" ht="14" customHeight="1" thickTop="1">
      <c r="A7" s="47">
        <f>A6+1</f>
        <v>3</v>
      </c>
      <c r="B7" s="52"/>
      <c r="C7" s="52">
        <f>C6</f>
        <v>423</v>
      </c>
      <c r="D7" s="51"/>
      <c r="E7" s="51"/>
      <c r="F7" s="587" t="str">
        <f>Ср.мес.Т!C3&amp;":   "&amp;VLOOKUP(C7,Ср.мес.Т!A3:BP1312,A7)</f>
        <v>Республика:   Малая Русь</v>
      </c>
      <c r="G7" s="557"/>
      <c r="H7" s="557"/>
      <c r="I7" s="558"/>
      <c r="J7" s="556" t="str">
        <f>Ср.мес.Т!D3&amp;":   "&amp;VLOOKUP(C8,Ср.мес.Т!A4:BP1313,A8)</f>
        <v>край:   Полтавская область</v>
      </c>
      <c r="K7" s="557"/>
      <c r="L7" s="557"/>
      <c r="M7" s="558"/>
      <c r="N7" s="556" t="str">
        <f>Ср.мес.Т!E3&amp;":   "&amp;VLOOKUP(C9,Ср.мес.Т!A5:BP1314,A9)</f>
        <v xml:space="preserve">город:   Полтава                  </v>
      </c>
      <c r="O7" s="557"/>
      <c r="P7" s="557"/>
      <c r="Q7" s="557"/>
      <c r="R7" s="563"/>
      <c r="S7" s="51"/>
      <c r="T7" s="230"/>
      <c r="U7" s="227"/>
      <c r="V7" s="229"/>
      <c r="W7" s="229"/>
      <c r="X7" s="227"/>
      <c r="Y7" s="229"/>
      <c r="Z7" s="229"/>
      <c r="AA7" s="229"/>
      <c r="AB7" s="229"/>
      <c r="AC7" s="54"/>
      <c r="AD7" s="56"/>
      <c r="AE7" s="56"/>
      <c r="AF7" s="54"/>
      <c r="AK7" s="54"/>
      <c r="AL7" s="54"/>
      <c r="AM7" s="60"/>
      <c r="AN7" s="59"/>
    </row>
    <row r="8" spans="1:40" ht="14" customHeight="1" thickBot="1">
      <c r="A8" s="47">
        <f t="shared" si="0"/>
        <v>4</v>
      </c>
      <c r="B8" s="52"/>
      <c r="C8" s="52">
        <f t="shared" si="1"/>
        <v>423</v>
      </c>
      <c r="D8" s="51"/>
      <c r="E8" s="51"/>
      <c r="F8" s="588"/>
      <c r="G8" s="561"/>
      <c r="H8" s="561"/>
      <c r="I8" s="562"/>
      <c r="J8" s="559"/>
      <c r="K8" s="560"/>
      <c r="L8" s="561"/>
      <c r="M8" s="562"/>
      <c r="N8" s="559"/>
      <c r="O8" s="561"/>
      <c r="P8" s="561"/>
      <c r="Q8" s="561"/>
      <c r="R8" s="564"/>
      <c r="S8" s="51"/>
      <c r="T8" s="251"/>
      <c r="U8" s="252"/>
      <c r="V8" s="253"/>
      <c r="W8" s="253"/>
      <c r="X8" s="253"/>
      <c r="Y8" s="253"/>
      <c r="Z8" s="229"/>
      <c r="AA8" s="229"/>
      <c r="AB8" s="229"/>
      <c r="AC8" s="54"/>
      <c r="AD8" s="56"/>
      <c r="AE8" s="56"/>
      <c r="AF8" s="54"/>
      <c r="AK8" s="54"/>
      <c r="AL8" s="54"/>
      <c r="AM8" s="60"/>
      <c r="AN8" s="59"/>
    </row>
    <row r="9" spans="1:40" ht="6.5" customHeight="1" thickBot="1">
      <c r="A9" s="47">
        <f t="shared" si="0"/>
        <v>5</v>
      </c>
      <c r="B9" s="52"/>
      <c r="C9" s="52">
        <f t="shared" si="1"/>
        <v>423</v>
      </c>
      <c r="D9" s="51"/>
      <c r="E9" s="51"/>
      <c r="F9" s="217"/>
      <c r="G9" s="208"/>
      <c r="H9" s="214"/>
      <c r="I9" s="215"/>
      <c r="J9" s="211"/>
      <c r="K9" s="210"/>
      <c r="L9" s="209"/>
      <c r="M9" s="209"/>
      <c r="N9" s="209"/>
      <c r="O9" s="209"/>
      <c r="P9" s="209"/>
      <c r="Q9" s="209"/>
      <c r="R9" s="218"/>
      <c r="S9" s="51"/>
      <c r="T9" s="609">
        <v>200</v>
      </c>
      <c r="U9" s="609"/>
      <c r="V9" s="609"/>
      <c r="W9" s="253"/>
      <c r="X9" s="253"/>
      <c r="Y9" s="253"/>
      <c r="Z9" s="229"/>
      <c r="AA9" s="229"/>
      <c r="AB9" s="229"/>
      <c r="AC9" s="54"/>
      <c r="AD9" s="62"/>
      <c r="AE9" s="62"/>
      <c r="AF9" s="54"/>
      <c r="AK9" s="54"/>
      <c r="AL9" s="54"/>
      <c r="AM9" s="60"/>
      <c r="AN9" s="59"/>
    </row>
    <row r="10" spans="1:40" ht="14" customHeight="1">
      <c r="A10" s="47">
        <f t="shared" si="0"/>
        <v>6</v>
      </c>
      <c r="B10" s="52"/>
      <c r="C10" s="52">
        <f t="shared" si="1"/>
        <v>423</v>
      </c>
      <c r="D10" s="51"/>
      <c r="E10" s="51"/>
      <c r="F10" s="565" t="s">
        <v>2029</v>
      </c>
      <c r="G10" s="566"/>
      <c r="H10" s="576">
        <v>14</v>
      </c>
      <c r="I10" s="566" t="s">
        <v>2629</v>
      </c>
      <c r="J10" s="566"/>
      <c r="K10" s="576">
        <v>0</v>
      </c>
      <c r="L10" s="566" t="s">
        <v>2630</v>
      </c>
      <c r="M10" s="566"/>
      <c r="N10" s="576">
        <v>400</v>
      </c>
      <c r="O10" s="566" t="s">
        <v>2631</v>
      </c>
      <c r="P10" s="566"/>
      <c r="Q10" s="576">
        <v>500</v>
      </c>
      <c r="R10" s="219"/>
      <c r="S10" s="51"/>
      <c r="T10" s="609"/>
      <c r="U10" s="609"/>
      <c r="V10" s="609"/>
      <c r="W10" s="253"/>
      <c r="X10" s="253"/>
      <c r="Y10" s="253"/>
      <c r="Z10" s="229"/>
      <c r="AA10" s="229"/>
      <c r="AB10" s="229"/>
      <c r="AC10" s="54"/>
      <c r="AD10" s="62"/>
      <c r="AE10" s="62"/>
      <c r="AF10" s="54"/>
      <c r="AK10" s="54"/>
      <c r="AL10" s="54"/>
      <c r="AM10" s="60"/>
      <c r="AN10" s="59"/>
    </row>
    <row r="11" spans="1:40" ht="14" customHeight="1" thickBot="1">
      <c r="A11" s="47">
        <f t="shared" si="0"/>
        <v>7</v>
      </c>
      <c r="B11" s="52"/>
      <c r="C11" s="52">
        <f t="shared" si="1"/>
        <v>423</v>
      </c>
      <c r="D11" s="51"/>
      <c r="E11" s="51"/>
      <c r="F11" s="567"/>
      <c r="G11" s="568"/>
      <c r="H11" s="577"/>
      <c r="I11" s="568"/>
      <c r="J11" s="568"/>
      <c r="K11" s="577"/>
      <c r="L11" s="568"/>
      <c r="M11" s="568"/>
      <c r="N11" s="577"/>
      <c r="O11" s="568"/>
      <c r="P11" s="568"/>
      <c r="Q11" s="577"/>
      <c r="R11" s="220" t="s">
        <v>2617</v>
      </c>
      <c r="S11" s="63"/>
      <c r="T11" s="251"/>
      <c r="U11" s="253"/>
      <c r="V11" s="253"/>
      <c r="W11" s="253"/>
      <c r="X11" s="253"/>
      <c r="Y11" s="253"/>
      <c r="Z11" s="229"/>
      <c r="AA11" s="229"/>
      <c r="AB11" s="229"/>
      <c r="AD11" s="62"/>
      <c r="AE11" s="62"/>
      <c r="AF11" s="54"/>
      <c r="AK11" s="54"/>
      <c r="AL11" s="54"/>
      <c r="AM11" s="60"/>
      <c r="AN11" s="59"/>
    </row>
    <row r="12" spans="1:40" ht="6" customHeight="1">
      <c r="A12" s="47">
        <f t="shared" si="0"/>
        <v>8</v>
      </c>
      <c r="B12" s="52"/>
      <c r="C12" s="52">
        <f t="shared" si="1"/>
        <v>423</v>
      </c>
      <c r="D12" s="51"/>
      <c r="E12" s="51"/>
      <c r="F12" s="221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9"/>
      <c r="S12" s="63"/>
      <c r="T12" s="609">
        <v>200</v>
      </c>
      <c r="U12" s="609"/>
      <c r="V12" s="609"/>
      <c r="W12" s="253"/>
      <c r="X12" s="253"/>
      <c r="Y12" s="253"/>
      <c r="Z12" s="229"/>
      <c r="AA12" s="229"/>
      <c r="AB12" s="229"/>
      <c r="AD12" s="56"/>
      <c r="AE12" s="56"/>
      <c r="AF12" s="54"/>
      <c r="AG12" s="54"/>
      <c r="AH12" s="54"/>
      <c r="AI12" s="54"/>
      <c r="AJ12" s="54"/>
      <c r="AK12" s="54"/>
      <c r="AL12" s="54"/>
      <c r="AM12" s="60"/>
      <c r="AN12" s="59"/>
    </row>
    <row r="13" spans="1:40" ht="14" customHeight="1">
      <c r="A13" s="47"/>
      <c r="B13" s="52"/>
      <c r="C13" s="52"/>
      <c r="D13" s="51"/>
      <c r="E13" s="51"/>
      <c r="F13" s="222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23"/>
      <c r="S13" s="63"/>
      <c r="T13" s="609"/>
      <c r="U13" s="609"/>
      <c r="V13" s="609"/>
      <c r="W13" s="253"/>
      <c r="X13" s="253"/>
      <c r="Y13" s="253"/>
      <c r="Z13" s="229"/>
      <c r="AA13" s="229"/>
      <c r="AB13" s="229"/>
      <c r="AC13" s="54"/>
      <c r="AD13" s="56"/>
      <c r="AE13" s="56"/>
      <c r="AF13" s="54"/>
      <c r="AG13" s="54"/>
      <c r="AH13" s="54"/>
      <c r="AI13" s="54"/>
      <c r="AJ13" s="54"/>
      <c r="AK13" s="54"/>
      <c r="AL13" s="54"/>
      <c r="AM13" s="60"/>
      <c r="AN13" s="59"/>
    </row>
    <row r="14" spans="1:40" ht="14" customHeight="1">
      <c r="A14" s="47">
        <f>A12+1</f>
        <v>9</v>
      </c>
      <c r="B14" s="52"/>
      <c r="C14" s="52">
        <f>C12</f>
        <v>423</v>
      </c>
      <c r="D14" s="51"/>
      <c r="E14" s="51"/>
      <c r="F14" s="593" t="s">
        <v>2031</v>
      </c>
      <c r="G14" s="594"/>
      <c r="H14" s="594"/>
      <c r="I14" s="594"/>
      <c r="J14" s="594"/>
      <c r="K14" s="594"/>
      <c r="L14" s="594"/>
      <c r="M14" s="594"/>
      <c r="N14" s="594"/>
      <c r="O14" s="594"/>
      <c r="P14" s="594"/>
      <c r="Q14" s="594"/>
      <c r="R14" s="595"/>
      <c r="S14" s="56"/>
      <c r="T14" s="609"/>
      <c r="U14" s="609"/>
      <c r="V14" s="609"/>
      <c r="W14" s="253"/>
      <c r="X14" s="253"/>
      <c r="Y14" s="253"/>
      <c r="Z14" s="229"/>
      <c r="AA14" s="229"/>
      <c r="AB14" s="229"/>
      <c r="AC14" s="54"/>
      <c r="AD14" s="61"/>
      <c r="AE14" s="61"/>
      <c r="AF14" s="54"/>
      <c r="AG14" s="54"/>
      <c r="AH14" s="54"/>
      <c r="AI14" s="54"/>
      <c r="AJ14" s="54"/>
      <c r="AK14" s="54"/>
      <c r="AL14" s="54"/>
      <c r="AM14" s="60"/>
      <c r="AN14" s="59"/>
    </row>
    <row r="15" spans="1:40" ht="15" customHeight="1">
      <c r="A15" s="47">
        <f t="shared" ref="A15:A26" si="2">A14+1</f>
        <v>10</v>
      </c>
      <c r="B15" s="52"/>
      <c r="C15" s="52">
        <f t="shared" ref="C15:C26" si="3">C14</f>
        <v>423</v>
      </c>
      <c r="D15" s="51"/>
      <c r="E15" s="51"/>
      <c r="F15" s="596"/>
      <c r="G15" s="597"/>
      <c r="H15" s="597"/>
      <c r="I15" s="597"/>
      <c r="J15" s="597"/>
      <c r="K15" s="597"/>
      <c r="L15" s="597"/>
      <c r="M15" s="597"/>
      <c r="N15" s="597"/>
      <c r="O15" s="597"/>
      <c r="P15" s="597"/>
      <c r="Q15" s="597"/>
      <c r="R15" s="598"/>
      <c r="S15" s="56"/>
      <c r="T15" s="609">
        <f>N10-K10</f>
        <v>400</v>
      </c>
      <c r="U15" s="609"/>
      <c r="V15" s="609"/>
      <c r="W15" s="253"/>
      <c r="X15" s="253"/>
      <c r="Y15" s="253"/>
      <c r="Z15" s="233"/>
      <c r="AA15" s="233"/>
      <c r="AB15" s="233"/>
      <c r="AC15" s="233"/>
      <c r="AD15" s="233"/>
      <c r="AE15" s="233"/>
      <c r="AF15" s="54"/>
      <c r="AG15" s="54"/>
      <c r="AH15" s="54"/>
      <c r="AI15" s="54"/>
      <c r="AJ15" s="54"/>
      <c r="AK15" s="54"/>
      <c r="AL15" s="54"/>
      <c r="AM15" s="60"/>
      <c r="AN15" s="59"/>
    </row>
    <row r="16" spans="1:40" ht="15" customHeight="1">
      <c r="A16" s="47">
        <f t="shared" si="2"/>
        <v>11</v>
      </c>
      <c r="B16" s="52"/>
      <c r="C16" s="52">
        <f t="shared" si="3"/>
        <v>423</v>
      </c>
      <c r="D16" s="51"/>
      <c r="E16" s="51"/>
      <c r="F16" s="574" t="s">
        <v>2618</v>
      </c>
      <c r="G16" s="540"/>
      <c r="H16" s="540"/>
      <c r="I16" s="540"/>
      <c r="J16" s="541"/>
      <c r="K16" s="540" t="s">
        <v>2622</v>
      </c>
      <c r="L16" s="541"/>
      <c r="M16" s="578" t="s">
        <v>2624</v>
      </c>
      <c r="N16" s="541"/>
      <c r="O16" s="578" t="s">
        <v>2626</v>
      </c>
      <c r="P16" s="541"/>
      <c r="Q16" s="578" t="s">
        <v>2627</v>
      </c>
      <c r="R16" s="582"/>
      <c r="S16" s="56"/>
      <c r="T16" s="609"/>
      <c r="U16" s="609"/>
      <c r="V16" s="609"/>
      <c r="W16" s="253"/>
      <c r="X16" s="253"/>
      <c r="Y16" s="253"/>
      <c r="Z16" s="233"/>
      <c r="AA16" s="233"/>
      <c r="AB16" s="233"/>
      <c r="AC16" s="233"/>
      <c r="AD16" s="233"/>
      <c r="AE16" s="233"/>
      <c r="AF16" s="54"/>
      <c r="AG16" s="54"/>
      <c r="AH16" s="54"/>
      <c r="AI16" s="54"/>
      <c r="AJ16" s="54"/>
      <c r="AK16" s="54"/>
      <c r="AL16" s="54"/>
      <c r="AM16" s="60"/>
      <c r="AN16" s="59"/>
    </row>
    <row r="17" spans="1:51" ht="15" customHeight="1">
      <c r="A17" s="47">
        <f t="shared" si="2"/>
        <v>12</v>
      </c>
      <c r="B17" s="52"/>
      <c r="C17" s="52">
        <f t="shared" si="3"/>
        <v>423</v>
      </c>
      <c r="D17" s="51"/>
      <c r="E17" s="51"/>
      <c r="F17" s="575"/>
      <c r="G17" s="542"/>
      <c r="H17" s="542"/>
      <c r="I17" s="542"/>
      <c r="J17" s="543"/>
      <c r="K17" s="542"/>
      <c r="L17" s="543"/>
      <c r="M17" s="579"/>
      <c r="N17" s="543"/>
      <c r="O17" s="579"/>
      <c r="P17" s="543"/>
      <c r="Q17" s="583"/>
      <c r="R17" s="584"/>
      <c r="S17" s="56"/>
      <c r="T17" s="608">
        <f>K10</f>
        <v>0</v>
      </c>
      <c r="U17" s="608"/>
      <c r="V17" s="608"/>
      <c r="W17" s="253"/>
      <c r="X17" s="253"/>
      <c r="Y17" s="253"/>
      <c r="Z17" s="233"/>
      <c r="AA17" s="233"/>
      <c r="AB17" s="233"/>
      <c r="AC17" s="233"/>
      <c r="AD17" s="233"/>
      <c r="AE17" s="233"/>
      <c r="AF17" s="54"/>
      <c r="AG17" s="54"/>
      <c r="AH17" s="385"/>
      <c r="AI17" s="385"/>
      <c r="AJ17" s="385"/>
      <c r="AK17" s="385"/>
      <c r="AL17" s="385"/>
      <c r="AM17" s="386"/>
      <c r="AN17" s="387"/>
      <c r="AO17" s="388"/>
      <c r="AP17" s="388"/>
      <c r="AQ17" s="388"/>
      <c r="AR17" s="388"/>
      <c r="AS17" s="388"/>
      <c r="AT17" s="388"/>
      <c r="AU17" s="388"/>
      <c r="AV17" s="388"/>
      <c r="AW17" s="388"/>
      <c r="AX17" s="388"/>
      <c r="AY17" s="388"/>
    </row>
    <row r="18" spans="1:51" ht="15" customHeight="1">
      <c r="A18" s="47">
        <f t="shared" si="2"/>
        <v>13</v>
      </c>
      <c r="B18" s="52"/>
      <c r="C18" s="52">
        <f t="shared" si="3"/>
        <v>423</v>
      </c>
      <c r="D18" s="51"/>
      <c r="E18" s="539"/>
      <c r="F18" s="525" t="s">
        <v>2621</v>
      </c>
      <c r="G18" s="526"/>
      <c r="H18" s="526"/>
      <c r="I18" s="526"/>
      <c r="J18" s="527"/>
      <c r="K18" s="544">
        <f>((((T28-30)+100+K10)*H10)*4)/1000</f>
        <v>64.850470538147007</v>
      </c>
      <c r="L18" s="535" t="s">
        <v>2619</v>
      </c>
      <c r="M18" s="544">
        <f>'Лист2 (2)'!K36*K18</f>
        <v>40.012740322036706</v>
      </c>
      <c r="N18" s="535" t="s">
        <v>2155</v>
      </c>
      <c r="O18" s="599"/>
      <c r="P18" s="589"/>
      <c r="Q18" s="544">
        <f>H10*4</f>
        <v>56</v>
      </c>
      <c r="R18" s="580" t="s">
        <v>23</v>
      </c>
      <c r="S18" s="56"/>
      <c r="T18" s="608"/>
      <c r="U18" s="608"/>
      <c r="V18" s="608"/>
      <c r="W18" s="253"/>
      <c r="X18" s="253"/>
      <c r="Y18" s="253"/>
      <c r="Z18" s="233"/>
      <c r="AC18" s="233"/>
      <c r="AD18" s="233"/>
      <c r="AE18" s="233"/>
      <c r="AF18" s="54"/>
      <c r="AG18" s="54"/>
      <c r="AH18" s="385"/>
      <c r="AI18" s="410"/>
      <c r="AJ18" s="410" t="str">
        <f>F18</f>
        <v>Продольная арматура АIII Ф           мм.</v>
      </c>
      <c r="AK18" s="410"/>
      <c r="AL18" s="410"/>
      <c r="AM18" s="410"/>
      <c r="AN18" s="410"/>
      <c r="AO18" s="411">
        <f t="shared" ref="AO18:AV18" si="4">K18</f>
        <v>64.850470538147007</v>
      </c>
      <c r="AP18" s="411" t="str">
        <f t="shared" si="4"/>
        <v>м.п.</v>
      </c>
      <c r="AQ18" s="411">
        <f t="shared" si="4"/>
        <v>40.012740322036706</v>
      </c>
      <c r="AR18" s="411" t="str">
        <f t="shared" si="4"/>
        <v>кг.</v>
      </c>
      <c r="AS18" s="411">
        <f t="shared" si="4"/>
        <v>0</v>
      </c>
      <c r="AT18" s="411">
        <f t="shared" si="4"/>
        <v>0</v>
      </c>
      <c r="AU18" s="411">
        <f t="shared" si="4"/>
        <v>56</v>
      </c>
      <c r="AV18" s="411" t="str">
        <f t="shared" si="4"/>
        <v>шт.</v>
      </c>
      <c r="AW18" s="412"/>
      <c r="AX18" s="388"/>
      <c r="AY18" s="388"/>
    </row>
    <row r="19" spans="1:51" ht="15" customHeight="1">
      <c r="A19" s="47">
        <f t="shared" si="2"/>
        <v>14</v>
      </c>
      <c r="B19" s="52"/>
      <c r="C19" s="52">
        <f t="shared" si="3"/>
        <v>423</v>
      </c>
      <c r="D19" s="51"/>
      <c r="E19" s="539"/>
      <c r="F19" s="528"/>
      <c r="G19" s="529"/>
      <c r="H19" s="529"/>
      <c r="I19" s="529"/>
      <c r="J19" s="530"/>
      <c r="K19" s="545"/>
      <c r="L19" s="536"/>
      <c r="M19" s="545"/>
      <c r="N19" s="536"/>
      <c r="O19" s="600"/>
      <c r="P19" s="590"/>
      <c r="Q19" s="545"/>
      <c r="R19" s="581"/>
      <c r="S19" s="56"/>
      <c r="T19" s="253"/>
      <c r="U19" s="253"/>
      <c r="V19" s="253"/>
      <c r="W19" s="253"/>
      <c r="X19" s="253"/>
      <c r="Y19" s="253"/>
      <c r="Z19" s="233"/>
      <c r="AA19" s="617" t="str">
        <f>"108х"&amp;(N10+Q10-K10)</f>
        <v>108х900</v>
      </c>
      <c r="AB19" s="617"/>
      <c r="AC19" s="233"/>
      <c r="AF19" s="54"/>
      <c r="AG19" s="54"/>
      <c r="AH19" s="385"/>
      <c r="AI19" s="410"/>
      <c r="AJ19" s="410"/>
      <c r="AK19" s="410"/>
      <c r="AL19" s="410"/>
      <c r="AM19" s="410"/>
      <c r="AN19" s="410"/>
      <c r="AO19" s="413"/>
      <c r="AP19" s="411"/>
      <c r="AQ19" s="411"/>
      <c r="AR19" s="411"/>
      <c r="AS19" s="411"/>
      <c r="AT19" s="411"/>
      <c r="AU19" s="411"/>
      <c r="AV19" s="411"/>
      <c r="AW19" s="412"/>
      <c r="AX19" s="388"/>
      <c r="AY19" s="388"/>
    </row>
    <row r="20" spans="1:51" ht="15" customHeight="1">
      <c r="A20" s="47">
        <f t="shared" si="2"/>
        <v>15</v>
      </c>
      <c r="B20" s="52"/>
      <c r="C20" s="52">
        <f t="shared" si="3"/>
        <v>423</v>
      </c>
      <c r="D20" s="51"/>
      <c r="E20" s="539"/>
      <c r="F20" s="525" t="s">
        <v>2620</v>
      </c>
      <c r="G20" s="526"/>
      <c r="H20" s="526"/>
      <c r="I20" s="526"/>
      <c r="J20" s="527"/>
      <c r="K20" s="544">
        <f>(Q20*0.6)</f>
        <v>33.6</v>
      </c>
      <c r="L20" s="535" t="s">
        <v>2619</v>
      </c>
      <c r="M20" s="544">
        <f>'Лист2 (2)'!K24*K20</f>
        <v>13.272000000000002</v>
      </c>
      <c r="N20" s="535" t="s">
        <v>2155</v>
      </c>
      <c r="O20" s="599"/>
      <c r="P20" s="589"/>
      <c r="Q20" s="544">
        <f>((ROUNDUP(((T28-30)+K10)/400,0))+1)*H10</f>
        <v>56</v>
      </c>
      <c r="R20" s="580" t="s">
        <v>23</v>
      </c>
      <c r="S20" s="56"/>
      <c r="T20" s="253"/>
      <c r="U20" s="253"/>
      <c r="V20" s="253"/>
      <c r="W20" s="253"/>
      <c r="X20" s="253"/>
      <c r="Y20" s="253"/>
      <c r="Z20" s="233"/>
      <c r="AA20" s="616">
        <f>'Лист2 (2)'!K37</f>
        <v>10</v>
      </c>
      <c r="AB20" s="616"/>
      <c r="AC20" s="233"/>
      <c r="AD20" s="233"/>
      <c r="AE20" s="233"/>
      <c r="AF20" s="54"/>
      <c r="AG20" s="54"/>
      <c r="AH20" s="385"/>
      <c r="AI20" s="410"/>
      <c r="AJ20" s="410" t="str">
        <f>F20</f>
        <v>Хомут - арматура АIII    Ф           мм.</v>
      </c>
      <c r="AK20" s="410"/>
      <c r="AL20" s="410"/>
      <c r="AM20" s="410"/>
      <c r="AN20" s="410"/>
      <c r="AO20" s="411">
        <f t="shared" ref="AO20:AV20" si="5">K20</f>
        <v>33.6</v>
      </c>
      <c r="AP20" s="411" t="str">
        <f t="shared" si="5"/>
        <v>м.п.</v>
      </c>
      <c r="AQ20" s="411">
        <f t="shared" si="5"/>
        <v>13.272000000000002</v>
      </c>
      <c r="AR20" s="411" t="str">
        <f t="shared" si="5"/>
        <v>кг.</v>
      </c>
      <c r="AS20" s="411">
        <f t="shared" si="5"/>
        <v>0</v>
      </c>
      <c r="AT20" s="411">
        <f t="shared" si="5"/>
        <v>0</v>
      </c>
      <c r="AU20" s="411">
        <f t="shared" si="5"/>
        <v>56</v>
      </c>
      <c r="AV20" s="411" t="str">
        <f t="shared" si="5"/>
        <v>шт.</v>
      </c>
      <c r="AW20" s="412"/>
      <c r="AX20" s="388"/>
      <c r="AY20" s="388"/>
    </row>
    <row r="21" spans="1:51" ht="15" customHeight="1">
      <c r="A21" s="47">
        <f t="shared" si="2"/>
        <v>16</v>
      </c>
      <c r="B21" s="52"/>
      <c r="C21" s="52">
        <f t="shared" si="3"/>
        <v>423</v>
      </c>
      <c r="D21" s="51"/>
      <c r="E21" s="539"/>
      <c r="F21" s="528"/>
      <c r="G21" s="529"/>
      <c r="H21" s="529"/>
      <c r="I21" s="529"/>
      <c r="J21" s="530"/>
      <c r="K21" s="545"/>
      <c r="L21" s="536"/>
      <c r="M21" s="545"/>
      <c r="N21" s="536"/>
      <c r="O21" s="600"/>
      <c r="P21" s="590"/>
      <c r="Q21" s="545"/>
      <c r="R21" s="581"/>
      <c r="S21" s="56"/>
      <c r="T21" s="253"/>
      <c r="U21" s="253"/>
      <c r="V21" s="253"/>
      <c r="W21" s="253"/>
      <c r="X21" s="253"/>
      <c r="Y21" s="253"/>
      <c r="Z21" s="233"/>
      <c r="AA21" s="616"/>
      <c r="AB21" s="616"/>
      <c r="AE21" s="241"/>
      <c r="AF21" s="54"/>
      <c r="AG21" s="54"/>
      <c r="AH21" s="385"/>
      <c r="AI21" s="410"/>
      <c r="AJ21" s="410"/>
      <c r="AK21" s="410"/>
      <c r="AL21" s="410"/>
      <c r="AM21" s="410"/>
      <c r="AN21" s="410"/>
      <c r="AO21" s="413"/>
      <c r="AP21" s="411"/>
      <c r="AQ21" s="411"/>
      <c r="AR21" s="411"/>
      <c r="AS21" s="411"/>
      <c r="AT21" s="411"/>
      <c r="AU21" s="411"/>
      <c r="AV21" s="411"/>
      <c r="AW21" s="412"/>
      <c r="AX21" s="388"/>
      <c r="AY21" s="388"/>
    </row>
    <row r="22" spans="1:51" ht="15" customHeight="1">
      <c r="A22" s="47">
        <f t="shared" si="2"/>
        <v>17</v>
      </c>
      <c r="B22" s="52"/>
      <c r="C22" s="52">
        <f t="shared" si="3"/>
        <v>423</v>
      </c>
      <c r="D22" s="51"/>
      <c r="E22" s="539"/>
      <c r="F22" s="525" t="s">
        <v>22</v>
      </c>
      <c r="G22" s="526"/>
      <c r="H22" s="526"/>
      <c r="I22" s="526"/>
      <c r="J22" s="527"/>
      <c r="K22" s="531"/>
      <c r="L22" s="591"/>
      <c r="M22" s="544">
        <f>O22*2400</f>
        <v>3342.6763280295336</v>
      </c>
      <c r="N22" s="535" t="s">
        <v>2155</v>
      </c>
      <c r="O22" s="533">
        <f>('Лист2 (2)'!S29+(((T28+T17-'Лист2 (2)'!T29)/1000)*(((W41/2)/1000)*((W41/2)/1000)*3.14159265358979)))*H10</f>
        <v>1.3927818033456389</v>
      </c>
      <c r="P22" s="601" t="s">
        <v>2623</v>
      </c>
      <c r="Q22" s="544">
        <f>O22/0.01</f>
        <v>139.2781803345639</v>
      </c>
      <c r="R22" s="580" t="s">
        <v>2632</v>
      </c>
      <c r="S22" s="56"/>
      <c r="T22" s="253"/>
      <c r="U22" s="253"/>
      <c r="V22" s="253"/>
      <c r="W22" s="253"/>
      <c r="X22" s="253"/>
      <c r="Y22" s="253"/>
      <c r="Z22" s="233"/>
      <c r="AA22" s="233"/>
      <c r="AB22" s="236">
        <f>'Лист2 (2)'!K25</f>
        <v>8</v>
      </c>
      <c r="AC22" s="618" t="s">
        <v>2032</v>
      </c>
      <c r="AD22" s="618"/>
      <c r="AE22" s="241"/>
      <c r="AF22" s="54"/>
      <c r="AG22" s="54"/>
      <c r="AH22" s="385"/>
      <c r="AI22" s="410"/>
      <c r="AJ22" s="410" t="str">
        <f>F22</f>
        <v>Бетон М300</v>
      </c>
      <c r="AK22" s="410"/>
      <c r="AL22" s="410"/>
      <c r="AM22" s="410"/>
      <c r="AN22" s="410"/>
      <c r="AO22" s="411">
        <f t="shared" ref="AO22:AV22" si="6">K22</f>
        <v>0</v>
      </c>
      <c r="AP22" s="411">
        <f t="shared" si="6"/>
        <v>0</v>
      </c>
      <c r="AQ22" s="411">
        <f t="shared" si="6"/>
        <v>3342.6763280295336</v>
      </c>
      <c r="AR22" s="411" t="str">
        <f t="shared" si="6"/>
        <v>кг.</v>
      </c>
      <c r="AS22" s="411">
        <f t="shared" si="6"/>
        <v>1.3927818033456389</v>
      </c>
      <c r="AT22" s="411" t="str">
        <f t="shared" si="6"/>
        <v>м.куб.</v>
      </c>
      <c r="AU22" s="411">
        <f t="shared" si="6"/>
        <v>139.2781803345639</v>
      </c>
      <c r="AV22" s="411" t="str">
        <f t="shared" si="6"/>
        <v>ведра</v>
      </c>
      <c r="AW22" s="412"/>
      <c r="AX22" s="388"/>
      <c r="AY22" s="388"/>
    </row>
    <row r="23" spans="1:51" ht="15" customHeight="1">
      <c r="A23" s="47">
        <f t="shared" si="2"/>
        <v>18</v>
      </c>
      <c r="B23" s="52"/>
      <c r="C23" s="52">
        <f t="shared" si="3"/>
        <v>423</v>
      </c>
      <c r="D23" s="51"/>
      <c r="E23" s="539"/>
      <c r="F23" s="528"/>
      <c r="G23" s="529"/>
      <c r="H23" s="529"/>
      <c r="I23" s="529"/>
      <c r="J23" s="530"/>
      <c r="K23" s="532"/>
      <c r="L23" s="592"/>
      <c r="M23" s="545"/>
      <c r="N23" s="536"/>
      <c r="O23" s="534"/>
      <c r="P23" s="602"/>
      <c r="Q23" s="545"/>
      <c r="R23" s="581"/>
      <c r="S23" s="56"/>
      <c r="T23" s="253"/>
      <c r="U23" s="253"/>
      <c r="V23" s="253"/>
      <c r="W23" s="253"/>
      <c r="X23" s="253"/>
      <c r="Y23" s="253"/>
      <c r="Z23" s="233"/>
      <c r="AA23" s="233"/>
      <c r="AB23" s="235"/>
      <c r="AC23" s="233"/>
      <c r="AD23" s="233"/>
      <c r="AE23" s="233"/>
      <c r="AF23" s="54"/>
      <c r="AG23" s="54"/>
      <c r="AH23" s="385"/>
      <c r="AI23" s="410"/>
      <c r="AJ23" s="410"/>
      <c r="AK23" s="410"/>
      <c r="AL23" s="410"/>
      <c r="AM23" s="410"/>
      <c r="AN23" s="410"/>
      <c r="AO23" s="413"/>
      <c r="AP23" s="411"/>
      <c r="AQ23" s="411"/>
      <c r="AR23" s="411"/>
      <c r="AS23" s="411"/>
      <c r="AT23" s="411"/>
      <c r="AU23" s="411"/>
      <c r="AV23" s="411"/>
      <c r="AW23" s="412"/>
      <c r="AX23" s="388"/>
      <c r="AY23" s="388"/>
    </row>
    <row r="24" spans="1:51" ht="15" customHeight="1">
      <c r="A24" s="47">
        <f t="shared" si="2"/>
        <v>19</v>
      </c>
      <c r="B24" s="52"/>
      <c r="C24" s="52">
        <f t="shared" si="3"/>
        <v>423</v>
      </c>
      <c r="D24" s="51"/>
      <c r="E24" s="539"/>
      <c r="F24" s="525" t="s">
        <v>2716</v>
      </c>
      <c r="G24" s="526"/>
      <c r="H24" s="526"/>
      <c r="I24" s="526"/>
      <c r="J24" s="527"/>
      <c r="K24" s="544">
        <f>(((T28+K10)-250)*H10)/1000</f>
        <v>11.732617634536751</v>
      </c>
      <c r="L24" s="535" t="s">
        <v>2619</v>
      </c>
      <c r="M24" s="544">
        <f>K24*1.33</f>
        <v>15.604381453933881</v>
      </c>
      <c r="N24" s="535" t="s">
        <v>2155</v>
      </c>
      <c r="O24" s="544">
        <f>K24</f>
        <v>11.732617634536751</v>
      </c>
      <c r="P24" s="572" t="s">
        <v>13</v>
      </c>
      <c r="Q24" s="544">
        <f>ROUNDUP(O24/15,0)</f>
        <v>1</v>
      </c>
      <c r="R24" s="580" t="s">
        <v>2628</v>
      </c>
      <c r="S24" s="56"/>
      <c r="T24" s="253"/>
      <c r="U24" s="253"/>
      <c r="V24" s="253"/>
      <c r="W24" s="253"/>
      <c r="X24" s="253"/>
      <c r="Y24" s="253"/>
      <c r="Z24" s="233"/>
      <c r="AA24" s="233"/>
      <c r="AB24" s="233"/>
      <c r="AC24" s="233"/>
      <c r="AD24" s="233"/>
      <c r="AE24" s="233"/>
      <c r="AF24" s="54"/>
      <c r="AG24" s="54"/>
      <c r="AH24" s="385"/>
      <c r="AI24" s="410"/>
      <c r="AJ24" s="410" t="str">
        <f>F24</f>
        <v>Рубероид (Рулон 15м)</v>
      </c>
      <c r="AK24" s="410"/>
      <c r="AL24" s="410"/>
      <c r="AM24" s="410"/>
      <c r="AN24" s="410"/>
      <c r="AO24" s="411">
        <f t="shared" ref="AO24:AV24" si="7">K24</f>
        <v>11.732617634536751</v>
      </c>
      <c r="AP24" s="411" t="str">
        <f t="shared" si="7"/>
        <v>м.п.</v>
      </c>
      <c r="AQ24" s="411">
        <f t="shared" si="7"/>
        <v>15.604381453933881</v>
      </c>
      <c r="AR24" s="411" t="str">
        <f t="shared" si="7"/>
        <v>кг.</v>
      </c>
      <c r="AS24" s="411">
        <f t="shared" si="7"/>
        <v>11.732617634536751</v>
      </c>
      <c r="AT24" s="411" t="str">
        <f t="shared" si="7"/>
        <v>м.кв.</v>
      </c>
      <c r="AU24" s="411">
        <f t="shared" si="7"/>
        <v>1</v>
      </c>
      <c r="AV24" s="411" t="str">
        <f t="shared" si="7"/>
        <v>рулона</v>
      </c>
      <c r="AW24" s="412"/>
      <c r="AX24" s="388"/>
      <c r="AY24" s="388"/>
    </row>
    <row r="25" spans="1:51" ht="15" customHeight="1">
      <c r="A25" s="47">
        <f t="shared" si="2"/>
        <v>20</v>
      </c>
      <c r="B25" s="52"/>
      <c r="C25" s="52">
        <f t="shared" si="3"/>
        <v>423</v>
      </c>
      <c r="D25" s="51"/>
      <c r="E25" s="539"/>
      <c r="F25" s="528"/>
      <c r="G25" s="529"/>
      <c r="H25" s="529"/>
      <c r="I25" s="529"/>
      <c r="J25" s="530"/>
      <c r="K25" s="545"/>
      <c r="L25" s="536"/>
      <c r="M25" s="545"/>
      <c r="N25" s="536"/>
      <c r="O25" s="545"/>
      <c r="P25" s="585"/>
      <c r="Q25" s="545"/>
      <c r="R25" s="581"/>
      <c r="S25" s="56"/>
      <c r="T25" s="253"/>
      <c r="U25" s="253"/>
      <c r="V25" s="253"/>
      <c r="W25" s="253"/>
      <c r="X25" s="253"/>
      <c r="Y25" s="253"/>
      <c r="Z25" s="233"/>
      <c r="AA25" s="233"/>
      <c r="AB25" s="233"/>
      <c r="AC25" s="233"/>
      <c r="AD25" s="233"/>
      <c r="AE25" s="233"/>
      <c r="AF25" s="54"/>
      <c r="AG25" s="54"/>
      <c r="AH25" s="385"/>
      <c r="AI25" s="410"/>
      <c r="AJ25" s="410"/>
      <c r="AK25" s="410"/>
      <c r="AL25" s="410"/>
      <c r="AM25" s="410"/>
      <c r="AN25" s="410"/>
      <c r="AO25" s="413"/>
      <c r="AP25" s="411"/>
      <c r="AQ25" s="411"/>
      <c r="AR25" s="411"/>
      <c r="AS25" s="411"/>
      <c r="AT25" s="411"/>
      <c r="AU25" s="411"/>
      <c r="AV25" s="411"/>
      <c r="AW25" s="412"/>
      <c r="AX25" s="388"/>
      <c r="AY25" s="388"/>
    </row>
    <row r="26" spans="1:51" ht="15" customHeight="1">
      <c r="A26" s="47">
        <f t="shared" si="2"/>
        <v>21</v>
      </c>
      <c r="B26" s="52"/>
      <c r="C26" s="52">
        <f t="shared" si="3"/>
        <v>423</v>
      </c>
      <c r="D26" s="51"/>
      <c r="E26" s="539"/>
      <c r="F26" s="525" t="s">
        <v>2625</v>
      </c>
      <c r="G26" s="526"/>
      <c r="H26" s="526"/>
      <c r="I26" s="526"/>
      <c r="J26" s="527"/>
      <c r="K26" s="531"/>
      <c r="L26" s="535"/>
      <c r="M26" s="537">
        <f>Q26*0.0771</f>
        <v>6.4763999999999999</v>
      </c>
      <c r="N26" s="535" t="s">
        <v>2155</v>
      </c>
      <c r="O26" s="603"/>
      <c r="P26" s="589"/>
      <c r="Q26" s="544">
        <f>H10*6</f>
        <v>84</v>
      </c>
      <c r="R26" s="580" t="s">
        <v>23</v>
      </c>
      <c r="S26" s="56"/>
      <c r="T26" s="253"/>
      <c r="U26" s="253"/>
      <c r="V26" s="253"/>
      <c r="W26" s="253"/>
      <c r="X26" s="253"/>
      <c r="Y26" s="253"/>
      <c r="Z26" s="233"/>
      <c r="AA26" s="233"/>
      <c r="AB26" s="233"/>
      <c r="AC26" s="233"/>
      <c r="AD26" s="233"/>
      <c r="AE26" s="233"/>
      <c r="AF26" s="54"/>
      <c r="AG26" s="54"/>
      <c r="AH26" s="385"/>
      <c r="AI26" s="410"/>
      <c r="AJ26" s="410" t="str">
        <f>F26</f>
        <v>Глухарь(шуруп 12х100мм оцинкованный)</v>
      </c>
      <c r="AK26" s="410"/>
      <c r="AL26" s="410"/>
      <c r="AM26" s="410"/>
      <c r="AN26" s="410"/>
      <c r="AO26" s="411">
        <f t="shared" ref="AO26:AV26" si="8">K26</f>
        <v>0</v>
      </c>
      <c r="AP26" s="411">
        <f t="shared" si="8"/>
        <v>0</v>
      </c>
      <c r="AQ26" s="411">
        <f t="shared" si="8"/>
        <v>6.4763999999999999</v>
      </c>
      <c r="AR26" s="411" t="str">
        <f t="shared" si="8"/>
        <v>кг.</v>
      </c>
      <c r="AS26" s="411">
        <f t="shared" si="8"/>
        <v>0</v>
      </c>
      <c r="AT26" s="411">
        <f t="shared" si="8"/>
        <v>0</v>
      </c>
      <c r="AU26" s="411">
        <f t="shared" si="8"/>
        <v>84</v>
      </c>
      <c r="AV26" s="411" t="str">
        <f t="shared" si="8"/>
        <v>шт.</v>
      </c>
      <c r="AW26" s="412"/>
      <c r="AX26" s="388"/>
      <c r="AY26" s="388"/>
    </row>
    <row r="27" spans="1:51" ht="15" customHeight="1">
      <c r="A27" s="47"/>
      <c r="B27" s="52"/>
      <c r="C27" s="52"/>
      <c r="D27" s="51"/>
      <c r="E27" s="539"/>
      <c r="F27" s="528"/>
      <c r="G27" s="529"/>
      <c r="H27" s="529"/>
      <c r="I27" s="529"/>
      <c r="J27" s="530"/>
      <c r="K27" s="532"/>
      <c r="L27" s="536"/>
      <c r="M27" s="538"/>
      <c r="N27" s="536"/>
      <c r="O27" s="604"/>
      <c r="P27" s="590"/>
      <c r="Q27" s="545"/>
      <c r="R27" s="581"/>
      <c r="S27" s="56"/>
      <c r="T27" s="253"/>
      <c r="U27" s="253"/>
      <c r="V27" s="253"/>
      <c r="W27" s="253"/>
      <c r="X27" s="253"/>
      <c r="Y27" s="253"/>
      <c r="Z27" s="233"/>
      <c r="AA27" s="233"/>
      <c r="AB27" s="233"/>
      <c r="AC27" s="233"/>
      <c r="AE27" s="233"/>
      <c r="AF27" s="54"/>
      <c r="AG27" s="54"/>
      <c r="AH27" s="385"/>
      <c r="AI27" s="410"/>
      <c r="AJ27" s="410"/>
      <c r="AK27" s="410"/>
      <c r="AL27" s="410"/>
      <c r="AM27" s="410"/>
      <c r="AN27" s="410"/>
      <c r="AO27" s="413"/>
      <c r="AP27" s="411"/>
      <c r="AQ27" s="411"/>
      <c r="AR27" s="411"/>
      <c r="AS27" s="411"/>
      <c r="AT27" s="411"/>
      <c r="AU27" s="411"/>
      <c r="AV27" s="411"/>
      <c r="AW27" s="412"/>
      <c r="AX27" s="388"/>
      <c r="AY27" s="388"/>
    </row>
    <row r="28" spans="1:51" ht="15" customHeight="1">
      <c r="A28" s="47"/>
      <c r="B28" s="52"/>
      <c r="C28" s="52"/>
      <c r="D28" s="51"/>
      <c r="E28" s="539"/>
      <c r="F28" s="525" t="s">
        <v>2707</v>
      </c>
      <c r="G28" s="526"/>
      <c r="H28" s="526"/>
      <c r="I28" s="526"/>
      <c r="J28" s="527"/>
      <c r="K28" s="531">
        <f>(((N10-K10)+Q10)/1000)*H10</f>
        <v>12.6</v>
      </c>
      <c r="L28" s="535" t="s">
        <v>2619</v>
      </c>
      <c r="M28" s="537">
        <f>K28</f>
        <v>12.6</v>
      </c>
      <c r="N28" s="535" t="s">
        <v>2155</v>
      </c>
      <c r="O28" s="533">
        <f>((3.14*108)/1000)*K28</f>
        <v>4.2729119999999998</v>
      </c>
      <c r="P28" s="572" t="s">
        <v>13</v>
      </c>
      <c r="Q28" s="544">
        <f>H10</f>
        <v>14</v>
      </c>
      <c r="R28" s="580" t="s">
        <v>23</v>
      </c>
      <c r="S28" s="63"/>
      <c r="T28" s="607">
        <f>AG77*1000</f>
        <v>1088.0441167526251</v>
      </c>
      <c r="U28" s="607"/>
      <c r="V28" s="607"/>
      <c r="W28" s="253"/>
      <c r="X28" s="253"/>
      <c r="Y28" s="253"/>
      <c r="AC28" s="233"/>
      <c r="AE28" s="233"/>
      <c r="AF28" s="54"/>
      <c r="AG28" s="54"/>
      <c r="AH28" s="385"/>
      <c r="AI28" s="410"/>
      <c r="AJ28" s="410" t="str">
        <f>F28</f>
        <v>Труба ПВХ Ф 250</v>
      </c>
      <c r="AK28" s="410"/>
      <c r="AL28" s="410"/>
      <c r="AM28" s="410"/>
      <c r="AN28" s="410"/>
      <c r="AO28" s="411">
        <f t="shared" ref="AO28:AV28" si="9">K28</f>
        <v>12.6</v>
      </c>
      <c r="AP28" s="411" t="str">
        <f t="shared" si="9"/>
        <v>м.п.</v>
      </c>
      <c r="AQ28" s="411">
        <f t="shared" si="9"/>
        <v>12.6</v>
      </c>
      <c r="AR28" s="411" t="str">
        <f t="shared" si="9"/>
        <v>кг.</v>
      </c>
      <c r="AS28" s="411">
        <f t="shared" si="9"/>
        <v>4.2729119999999998</v>
      </c>
      <c r="AT28" s="411" t="str">
        <f t="shared" si="9"/>
        <v>м.кв.</v>
      </c>
      <c r="AU28" s="411">
        <f t="shared" si="9"/>
        <v>14</v>
      </c>
      <c r="AV28" s="411" t="str">
        <f t="shared" si="9"/>
        <v>шт.</v>
      </c>
      <c r="AW28" s="412"/>
      <c r="AX28" s="388"/>
      <c r="AY28" s="388"/>
    </row>
    <row r="29" spans="1:51" ht="15" customHeight="1">
      <c r="A29" s="47">
        <f>A26+1</f>
        <v>22</v>
      </c>
      <c r="B29" s="52"/>
      <c r="C29" s="52">
        <f>C26</f>
        <v>423</v>
      </c>
      <c r="D29" s="51"/>
      <c r="E29" s="539"/>
      <c r="F29" s="528"/>
      <c r="G29" s="529"/>
      <c r="H29" s="529"/>
      <c r="I29" s="529"/>
      <c r="J29" s="530"/>
      <c r="K29" s="532"/>
      <c r="L29" s="536"/>
      <c r="M29" s="538"/>
      <c r="N29" s="536"/>
      <c r="O29" s="534"/>
      <c r="P29" s="585"/>
      <c r="Q29" s="545"/>
      <c r="R29" s="581"/>
      <c r="S29" s="63"/>
      <c r="T29" s="254"/>
      <c r="U29" s="253"/>
      <c r="V29" s="253"/>
      <c r="W29" s="253"/>
      <c r="X29" s="253"/>
      <c r="Y29" s="253"/>
      <c r="AC29" s="233"/>
      <c r="AD29" s="234"/>
      <c r="AE29" s="234"/>
      <c r="AF29" s="54"/>
      <c r="AG29" s="54"/>
      <c r="AH29" s="385"/>
      <c r="AI29" s="410"/>
      <c r="AJ29" s="410"/>
      <c r="AK29" s="410"/>
      <c r="AL29" s="410"/>
      <c r="AM29" s="410"/>
      <c r="AN29" s="410"/>
      <c r="AO29" s="413"/>
      <c r="AP29" s="411"/>
      <c r="AQ29" s="411"/>
      <c r="AR29" s="411"/>
      <c r="AS29" s="411"/>
      <c r="AT29" s="411"/>
      <c r="AU29" s="411"/>
      <c r="AV29" s="411"/>
      <c r="AW29" s="412"/>
      <c r="AX29" s="388"/>
      <c r="AY29" s="388"/>
    </row>
    <row r="30" spans="1:51" ht="15" customHeight="1">
      <c r="A30" s="47">
        <f t="shared" ref="A30:A75" si="10">A29+1</f>
        <v>23</v>
      </c>
      <c r="B30" s="52"/>
      <c r="C30" s="52">
        <f t="shared" ref="C30:C75" si="11">C29</f>
        <v>423</v>
      </c>
      <c r="D30" s="46"/>
      <c r="E30" s="539"/>
      <c r="F30" s="525" t="s">
        <v>2708</v>
      </c>
      <c r="G30" s="526"/>
      <c r="H30" s="526"/>
      <c r="I30" s="526"/>
      <c r="J30" s="527"/>
      <c r="K30" s="531">
        <f>H10*0.25</f>
        <v>3.5</v>
      </c>
      <c r="L30" s="535" t="s">
        <v>2619</v>
      </c>
      <c r="M30" s="537">
        <f>K30*1.31</f>
        <v>4.585</v>
      </c>
      <c r="N30" s="535" t="s">
        <v>2155</v>
      </c>
      <c r="O30" s="533">
        <f>((3.14*108)/1000)*K30</f>
        <v>1.18692</v>
      </c>
      <c r="P30" s="572" t="s">
        <v>13</v>
      </c>
      <c r="Q30" s="544">
        <f>H10</f>
        <v>14</v>
      </c>
      <c r="R30" s="580" t="s">
        <v>23</v>
      </c>
      <c r="S30" s="63"/>
      <c r="T30" s="254"/>
      <c r="U30" s="253"/>
      <c r="V30" s="253"/>
      <c r="W30" s="253"/>
      <c r="X30" s="253"/>
      <c r="Y30" s="253"/>
      <c r="Z30" s="224"/>
      <c r="AA30" s="224"/>
      <c r="AB30" s="224"/>
      <c r="AC30" s="54"/>
      <c r="AD30" s="58"/>
      <c r="AE30" s="58"/>
      <c r="AF30" s="54"/>
      <c r="AG30" s="54"/>
      <c r="AH30" s="385"/>
      <c r="AI30" s="410"/>
      <c r="AJ30" s="410" t="str">
        <f>F30</f>
        <v>Шпилька ф 16 х 250</v>
      </c>
      <c r="AK30" s="410"/>
      <c r="AL30" s="410"/>
      <c r="AM30" s="410"/>
      <c r="AN30" s="410"/>
      <c r="AO30" s="411">
        <f t="shared" ref="AO30:AV30" si="12">K30</f>
        <v>3.5</v>
      </c>
      <c r="AP30" s="411" t="str">
        <f t="shared" si="12"/>
        <v>м.п.</v>
      </c>
      <c r="AQ30" s="411">
        <f t="shared" si="12"/>
        <v>4.585</v>
      </c>
      <c r="AR30" s="411" t="str">
        <f t="shared" si="12"/>
        <v>кг.</v>
      </c>
      <c r="AS30" s="411">
        <f t="shared" si="12"/>
        <v>1.18692</v>
      </c>
      <c r="AT30" s="411" t="str">
        <f t="shared" si="12"/>
        <v>м.кв.</v>
      </c>
      <c r="AU30" s="411">
        <f t="shared" si="12"/>
        <v>14</v>
      </c>
      <c r="AV30" s="411" t="str">
        <f t="shared" si="12"/>
        <v>шт.</v>
      </c>
      <c r="AW30" s="412"/>
      <c r="AX30" s="388"/>
      <c r="AY30" s="388"/>
    </row>
    <row r="31" spans="1:51" ht="15" customHeight="1">
      <c r="A31" s="47">
        <f t="shared" si="10"/>
        <v>24</v>
      </c>
      <c r="B31" s="52"/>
      <c r="C31" s="52">
        <f t="shared" si="11"/>
        <v>423</v>
      </c>
      <c r="D31" s="46"/>
      <c r="E31" s="539"/>
      <c r="F31" s="528"/>
      <c r="G31" s="529"/>
      <c r="H31" s="529"/>
      <c r="I31" s="529"/>
      <c r="J31" s="530"/>
      <c r="K31" s="532"/>
      <c r="L31" s="536"/>
      <c r="M31" s="538"/>
      <c r="N31" s="536"/>
      <c r="O31" s="534"/>
      <c r="P31" s="585"/>
      <c r="Q31" s="545"/>
      <c r="R31" s="581"/>
      <c r="S31" s="63"/>
      <c r="T31" s="254"/>
      <c r="U31" s="252"/>
      <c r="V31" s="253"/>
      <c r="W31" s="253"/>
      <c r="X31" s="253"/>
      <c r="Y31" s="253"/>
      <c r="Z31" s="229"/>
      <c r="AA31" s="229"/>
      <c r="AB31" s="229"/>
      <c r="AC31" s="54"/>
      <c r="AD31" s="58"/>
      <c r="AE31" s="58"/>
      <c r="AF31" s="54"/>
      <c r="AG31" s="54"/>
      <c r="AH31" s="385"/>
      <c r="AI31" s="410"/>
      <c r="AJ31" s="410"/>
      <c r="AK31" s="410"/>
      <c r="AL31" s="410"/>
      <c r="AM31" s="410"/>
      <c r="AN31" s="410"/>
      <c r="AO31" s="413"/>
      <c r="AP31" s="411"/>
      <c r="AQ31" s="411"/>
      <c r="AR31" s="411"/>
      <c r="AS31" s="411"/>
      <c r="AT31" s="411"/>
      <c r="AU31" s="411"/>
      <c r="AV31" s="411"/>
      <c r="AW31" s="412"/>
      <c r="AX31" s="388"/>
      <c r="AY31" s="388"/>
    </row>
    <row r="32" spans="1:51" ht="15" customHeight="1">
      <c r="A32" s="47">
        <f t="shared" si="10"/>
        <v>25</v>
      </c>
      <c r="B32" s="52"/>
      <c r="C32" s="52">
        <f t="shared" si="11"/>
        <v>423</v>
      </c>
      <c r="D32" s="51"/>
      <c r="E32" s="539"/>
      <c r="F32" s="525" t="s">
        <v>2706</v>
      </c>
      <c r="G32" s="526"/>
      <c r="H32" s="526"/>
      <c r="I32" s="526"/>
      <c r="J32" s="527"/>
      <c r="K32" s="531"/>
      <c r="L32" s="535"/>
      <c r="M32" s="537">
        <f>1.5*H10</f>
        <v>21</v>
      </c>
      <c r="N32" s="535" t="s">
        <v>2155</v>
      </c>
      <c r="O32" s="533">
        <f>H10*0.0523529411764706</f>
        <v>0.73294117647058843</v>
      </c>
      <c r="P32" s="572" t="s">
        <v>13</v>
      </c>
      <c r="Q32" s="544">
        <f>H10</f>
        <v>14</v>
      </c>
      <c r="R32" s="580" t="s">
        <v>23</v>
      </c>
      <c r="S32" s="51"/>
      <c r="T32" s="255"/>
      <c r="U32" s="256"/>
      <c r="V32" s="253"/>
      <c r="W32" s="253"/>
      <c r="X32" s="253"/>
      <c r="Y32" s="253"/>
      <c r="Z32" s="229"/>
      <c r="AA32" s="227"/>
      <c r="AB32" s="229"/>
      <c r="AC32" s="54"/>
      <c r="AD32" s="28"/>
      <c r="AE32" s="28"/>
      <c r="AF32" s="54"/>
      <c r="AG32" s="54"/>
      <c r="AH32" s="385"/>
      <c r="AI32" s="410"/>
      <c r="AJ32" s="410" t="str">
        <f>F32</f>
        <v>Площадка оголовка (полоса 100х6х300 мм)</v>
      </c>
      <c r="AK32" s="410"/>
      <c r="AL32" s="410"/>
      <c r="AM32" s="410"/>
      <c r="AN32" s="410"/>
      <c r="AO32" s="411">
        <f t="shared" ref="AO32:AV32" si="13">K32</f>
        <v>0</v>
      </c>
      <c r="AP32" s="411">
        <f t="shared" si="13"/>
        <v>0</v>
      </c>
      <c r="AQ32" s="411">
        <f t="shared" si="13"/>
        <v>21</v>
      </c>
      <c r="AR32" s="411" t="str">
        <f t="shared" si="13"/>
        <v>кг.</v>
      </c>
      <c r="AS32" s="411">
        <f t="shared" si="13"/>
        <v>0.73294117647058843</v>
      </c>
      <c r="AT32" s="411" t="str">
        <f t="shared" si="13"/>
        <v>м.кв.</v>
      </c>
      <c r="AU32" s="411">
        <f t="shared" si="13"/>
        <v>14</v>
      </c>
      <c r="AV32" s="411" t="str">
        <f t="shared" si="13"/>
        <v>шт.</v>
      </c>
      <c r="AW32" s="412"/>
      <c r="AX32" s="388"/>
      <c r="AY32" s="388"/>
    </row>
    <row r="33" spans="1:51" ht="15" customHeight="1">
      <c r="A33" s="47">
        <f t="shared" si="10"/>
        <v>26</v>
      </c>
      <c r="B33" s="52"/>
      <c r="C33" s="52">
        <f t="shared" si="11"/>
        <v>423</v>
      </c>
      <c r="D33" s="51"/>
      <c r="E33" s="539"/>
      <c r="F33" s="528"/>
      <c r="G33" s="529"/>
      <c r="H33" s="529"/>
      <c r="I33" s="529"/>
      <c r="J33" s="530"/>
      <c r="K33" s="532"/>
      <c r="L33" s="536"/>
      <c r="M33" s="538"/>
      <c r="N33" s="536"/>
      <c r="O33" s="534"/>
      <c r="P33" s="585"/>
      <c r="Q33" s="545"/>
      <c r="R33" s="581"/>
      <c r="S33" s="110"/>
      <c r="T33" s="252"/>
      <c r="U33" s="256"/>
      <c r="V33" s="253"/>
      <c r="W33" s="253"/>
      <c r="X33" s="253"/>
      <c r="Y33" s="253"/>
      <c r="Z33" s="229"/>
      <c r="AA33" s="229"/>
      <c r="AB33" s="229"/>
      <c r="AC33" s="54"/>
      <c r="AD33" s="28"/>
      <c r="AE33" s="28"/>
      <c r="AF33" s="54"/>
      <c r="AG33" s="54"/>
      <c r="AH33" s="385"/>
      <c r="AI33" s="410"/>
      <c r="AJ33" s="410"/>
      <c r="AK33" s="410"/>
      <c r="AL33" s="410"/>
      <c r="AM33" s="410"/>
      <c r="AN33" s="410"/>
      <c r="AO33" s="413"/>
      <c r="AP33" s="411"/>
      <c r="AQ33" s="411"/>
      <c r="AR33" s="411"/>
      <c r="AS33" s="411"/>
      <c r="AT33" s="411"/>
      <c r="AU33" s="411"/>
      <c r="AV33" s="411"/>
      <c r="AW33" s="412"/>
      <c r="AX33" s="388"/>
      <c r="AY33" s="388"/>
    </row>
    <row r="34" spans="1:51" ht="15" customHeight="1">
      <c r="A34" s="47">
        <f t="shared" si="10"/>
        <v>27</v>
      </c>
      <c r="B34" s="52"/>
      <c r="C34" s="52">
        <f t="shared" si="11"/>
        <v>423</v>
      </c>
      <c r="D34" s="46"/>
      <c r="E34" s="539"/>
      <c r="F34" s="525" t="s">
        <v>2709</v>
      </c>
      <c r="G34" s="526"/>
      <c r="H34" s="526"/>
      <c r="I34" s="526"/>
      <c r="J34" s="527"/>
      <c r="K34" s="531">
        <f>H10</f>
        <v>14</v>
      </c>
      <c r="L34" s="535" t="s">
        <v>16</v>
      </c>
      <c r="M34" s="537">
        <f>K34*0.0332</f>
        <v>0.46479999999999999</v>
      </c>
      <c r="N34" s="535" t="s">
        <v>2155</v>
      </c>
      <c r="O34" s="533">
        <f>0.0020588235294118*Q34</f>
        <v>0.1152941176470608</v>
      </c>
      <c r="P34" s="572" t="s">
        <v>13</v>
      </c>
      <c r="Q34" s="544">
        <f>Q32*4</f>
        <v>56</v>
      </c>
      <c r="R34" s="580" t="s">
        <v>23</v>
      </c>
      <c r="S34" s="110"/>
      <c r="T34" s="252"/>
      <c r="U34" s="256"/>
      <c r="V34" s="252"/>
      <c r="W34" s="253"/>
      <c r="X34" s="253"/>
      <c r="Y34" s="253"/>
      <c r="Z34" s="571" t="s">
        <v>2636</v>
      </c>
      <c r="AA34" s="571"/>
      <c r="AB34" s="571"/>
      <c r="AC34" s="571"/>
      <c r="AD34" s="246"/>
      <c r="AE34" s="246"/>
      <c r="AF34" s="54"/>
      <c r="AG34" s="54"/>
      <c r="AH34" s="385"/>
      <c r="AI34" s="410"/>
      <c r="AJ34" s="410" t="str">
        <f>F34</f>
        <v>Гайка М16 оцинкованная Класс прочности 6.  DIN 934</v>
      </c>
      <c r="AK34" s="410"/>
      <c r="AL34" s="410"/>
      <c r="AM34" s="410"/>
      <c r="AN34" s="410"/>
      <c r="AO34" s="411">
        <f t="shared" ref="AO34:AV34" si="14">K34</f>
        <v>14</v>
      </c>
      <c r="AP34" s="411" t="str">
        <f t="shared" si="14"/>
        <v>шт</v>
      </c>
      <c r="AQ34" s="411">
        <f t="shared" si="14"/>
        <v>0.46479999999999999</v>
      </c>
      <c r="AR34" s="411" t="str">
        <f t="shared" si="14"/>
        <v>кг.</v>
      </c>
      <c r="AS34" s="411">
        <f t="shared" si="14"/>
        <v>0.1152941176470608</v>
      </c>
      <c r="AT34" s="411" t="str">
        <f t="shared" si="14"/>
        <v>м.кв.</v>
      </c>
      <c r="AU34" s="411">
        <f t="shared" si="14"/>
        <v>56</v>
      </c>
      <c r="AV34" s="411" t="str">
        <f t="shared" si="14"/>
        <v>шт.</v>
      </c>
      <c r="AW34" s="412"/>
      <c r="AX34" s="388"/>
      <c r="AY34" s="388"/>
    </row>
    <row r="35" spans="1:51" ht="15" customHeight="1">
      <c r="A35" s="47">
        <f t="shared" si="10"/>
        <v>28</v>
      </c>
      <c r="B35" s="52"/>
      <c r="C35" s="52">
        <f t="shared" si="11"/>
        <v>423</v>
      </c>
      <c r="D35" s="46"/>
      <c r="E35" s="539"/>
      <c r="F35" s="528"/>
      <c r="G35" s="529"/>
      <c r="H35" s="529"/>
      <c r="I35" s="529"/>
      <c r="J35" s="530"/>
      <c r="K35" s="532"/>
      <c r="L35" s="536"/>
      <c r="M35" s="538"/>
      <c r="N35" s="536"/>
      <c r="O35" s="534"/>
      <c r="P35" s="585"/>
      <c r="Q35" s="545"/>
      <c r="R35" s="581"/>
      <c r="S35" s="105"/>
      <c r="T35" s="252"/>
      <c r="U35" s="256"/>
      <c r="V35" s="252"/>
      <c r="W35" s="253"/>
      <c r="X35" s="253"/>
      <c r="Y35" s="253"/>
      <c r="Z35" s="571"/>
      <c r="AA35" s="571"/>
      <c r="AB35" s="571"/>
      <c r="AC35" s="571"/>
      <c r="AD35" s="246"/>
      <c r="AE35" s="246"/>
      <c r="AH35" s="388"/>
      <c r="AI35" s="412"/>
      <c r="AJ35" s="410"/>
      <c r="AK35" s="410"/>
      <c r="AL35" s="410"/>
      <c r="AM35" s="410"/>
      <c r="AN35" s="410"/>
      <c r="AO35" s="413"/>
      <c r="AP35" s="411"/>
      <c r="AQ35" s="411"/>
      <c r="AR35" s="411"/>
      <c r="AS35" s="411"/>
      <c r="AT35" s="411"/>
      <c r="AU35" s="411"/>
      <c r="AV35" s="411"/>
      <c r="AW35" s="412"/>
      <c r="AX35" s="388"/>
      <c r="AY35" s="388"/>
    </row>
    <row r="36" spans="1:51" ht="15" customHeight="1">
      <c r="A36" s="47">
        <f t="shared" si="10"/>
        <v>29</v>
      </c>
      <c r="B36" s="52"/>
      <c r="C36" s="52">
        <f t="shared" si="11"/>
        <v>423</v>
      </c>
      <c r="D36" s="46"/>
      <c r="E36" s="539"/>
      <c r="F36" s="525" t="s">
        <v>2714</v>
      </c>
      <c r="G36" s="526"/>
      <c r="H36" s="526"/>
      <c r="I36" s="526"/>
      <c r="J36" s="527"/>
      <c r="K36" s="531">
        <f>H10</f>
        <v>14</v>
      </c>
      <c r="L36" s="535" t="s">
        <v>16</v>
      </c>
      <c r="M36" s="537">
        <f>42*K36</f>
        <v>588</v>
      </c>
      <c r="N36" s="535" t="s">
        <v>2715</v>
      </c>
      <c r="O36" s="533"/>
      <c r="P36" s="572"/>
      <c r="Q36" s="533">
        <f>M36/300</f>
        <v>1.96</v>
      </c>
      <c r="R36" s="580" t="s">
        <v>23</v>
      </c>
      <c r="S36" s="105"/>
      <c r="T36" s="252"/>
      <c r="U36" s="256"/>
      <c r="V36" s="252"/>
      <c r="W36" s="253"/>
      <c r="X36" s="253"/>
      <c r="Y36" s="253"/>
      <c r="Z36" s="224"/>
      <c r="AA36" s="620">
        <v>5000</v>
      </c>
      <c r="AB36" s="620"/>
      <c r="AC36" s="247" t="s">
        <v>12</v>
      </c>
      <c r="AD36" s="246"/>
      <c r="AE36" s="246"/>
      <c r="AH36" s="388"/>
      <c r="AI36" s="412"/>
      <c r="AJ36" s="410" t="str">
        <f>F36</f>
        <v>Химический анкер (300мл)</v>
      </c>
      <c r="AK36" s="410"/>
      <c r="AL36" s="410"/>
      <c r="AM36" s="410"/>
      <c r="AN36" s="410"/>
      <c r="AO36" s="411">
        <f t="shared" ref="AO36:AV36" si="15">K36</f>
        <v>14</v>
      </c>
      <c r="AP36" s="411" t="str">
        <f t="shared" si="15"/>
        <v>шт</v>
      </c>
      <c r="AQ36" s="411">
        <f t="shared" si="15"/>
        <v>588</v>
      </c>
      <c r="AR36" s="411" t="str">
        <f t="shared" si="15"/>
        <v>мл</v>
      </c>
      <c r="AS36" s="411">
        <f t="shared" si="15"/>
        <v>0</v>
      </c>
      <c r="AT36" s="411">
        <f t="shared" si="15"/>
        <v>0</v>
      </c>
      <c r="AU36" s="411">
        <f t="shared" si="15"/>
        <v>1.96</v>
      </c>
      <c r="AV36" s="411" t="str">
        <f t="shared" si="15"/>
        <v>шт.</v>
      </c>
      <c r="AW36" s="412"/>
      <c r="AX36" s="388"/>
      <c r="AY36" s="388"/>
    </row>
    <row r="37" spans="1:51" ht="15" customHeight="1">
      <c r="A37" s="47">
        <f t="shared" si="10"/>
        <v>30</v>
      </c>
      <c r="B37" s="52"/>
      <c r="C37" s="52">
        <f t="shared" si="11"/>
        <v>423</v>
      </c>
      <c r="D37" s="46"/>
      <c r="E37" s="539"/>
      <c r="F37" s="528"/>
      <c r="G37" s="529"/>
      <c r="H37" s="529"/>
      <c r="I37" s="529"/>
      <c r="J37" s="530"/>
      <c r="K37" s="532"/>
      <c r="L37" s="536"/>
      <c r="M37" s="538"/>
      <c r="N37" s="536"/>
      <c r="O37" s="534"/>
      <c r="P37" s="585"/>
      <c r="Q37" s="534"/>
      <c r="R37" s="581"/>
      <c r="S37" s="105"/>
      <c r="T37" s="252"/>
      <c r="U37" s="256"/>
      <c r="V37" s="252"/>
      <c r="W37" s="253"/>
      <c r="X37" s="253"/>
      <c r="Y37" s="253"/>
      <c r="Z37" s="224"/>
      <c r="AA37" s="224"/>
      <c r="AB37" s="224"/>
      <c r="AC37" s="248"/>
      <c r="AD37" s="246"/>
      <c r="AE37" s="246"/>
      <c r="AH37" s="388"/>
      <c r="AI37" s="412"/>
      <c r="AJ37" s="410"/>
      <c r="AK37" s="410"/>
      <c r="AL37" s="410"/>
      <c r="AM37" s="410"/>
      <c r="AN37" s="410"/>
      <c r="AO37" s="413"/>
      <c r="AP37" s="411"/>
      <c r="AQ37" s="411"/>
      <c r="AR37" s="411"/>
      <c r="AS37" s="411"/>
      <c r="AT37" s="411"/>
      <c r="AU37" s="411"/>
      <c r="AV37" s="411"/>
      <c r="AW37" s="412"/>
      <c r="AX37" s="388"/>
      <c r="AY37" s="388"/>
    </row>
    <row r="38" spans="1:51" ht="15" customHeight="1">
      <c r="A38" s="47">
        <f t="shared" si="10"/>
        <v>31</v>
      </c>
      <c r="B38" s="52"/>
      <c r="C38" s="52">
        <f t="shared" si="11"/>
        <v>423</v>
      </c>
      <c r="D38" s="46"/>
      <c r="E38" s="539"/>
      <c r="F38" s="525" t="s">
        <v>2633</v>
      </c>
      <c r="G38" s="526"/>
      <c r="H38" s="526"/>
      <c r="I38" s="526"/>
      <c r="J38" s="527"/>
      <c r="K38" s="531">
        <f>0.3*(Q20*4)</f>
        <v>67.2</v>
      </c>
      <c r="L38" s="535" t="s">
        <v>2619</v>
      </c>
      <c r="M38" s="537">
        <f>0.0026617647058824*(Q20*4)</f>
        <v>0.59623529411765763</v>
      </c>
      <c r="N38" s="535" t="s">
        <v>2155</v>
      </c>
      <c r="O38" s="533"/>
      <c r="P38" s="572"/>
      <c r="Q38" s="544">
        <f>Q20*4</f>
        <v>224</v>
      </c>
      <c r="R38" s="580" t="s">
        <v>23</v>
      </c>
      <c r="S38" s="105"/>
      <c r="T38" s="252"/>
      <c r="U38" s="256"/>
      <c r="V38" s="252"/>
      <c r="W38" s="621">
        <f>VLOOKUP('Лист2 (2)'!K30,'Лист2 (2)'!L30:O32,4)</f>
        <v>240</v>
      </c>
      <c r="X38" s="253"/>
      <c r="Y38" s="253"/>
      <c r="Z38" s="571" t="s">
        <v>2030</v>
      </c>
      <c r="AA38" s="571"/>
      <c r="AB38" s="571"/>
      <c r="AC38" s="571"/>
      <c r="AD38" s="246"/>
      <c r="AE38" s="246"/>
      <c r="AF38" s="54"/>
      <c r="AG38" s="54"/>
      <c r="AH38" s="385"/>
      <c r="AI38" s="410"/>
      <c r="AJ38" s="410" t="str">
        <f>F38</f>
        <v>Вязальная проволока 1,2мм</v>
      </c>
      <c r="AK38" s="410"/>
      <c r="AL38" s="410"/>
      <c r="AM38" s="410"/>
      <c r="AN38" s="410"/>
      <c r="AO38" s="411">
        <f t="shared" ref="AO38:AV38" si="16">K38</f>
        <v>67.2</v>
      </c>
      <c r="AP38" s="411" t="str">
        <f t="shared" si="16"/>
        <v>м.п.</v>
      </c>
      <c r="AQ38" s="411">
        <f t="shared" si="16"/>
        <v>0.59623529411765763</v>
      </c>
      <c r="AR38" s="411" t="str">
        <f t="shared" si="16"/>
        <v>кг.</v>
      </c>
      <c r="AS38" s="411">
        <f t="shared" si="16"/>
        <v>0</v>
      </c>
      <c r="AT38" s="411">
        <f t="shared" si="16"/>
        <v>0</v>
      </c>
      <c r="AU38" s="411">
        <f t="shared" si="16"/>
        <v>224</v>
      </c>
      <c r="AV38" s="411" t="str">
        <f t="shared" si="16"/>
        <v>шт.</v>
      </c>
      <c r="AW38" s="412"/>
      <c r="AX38" s="388"/>
      <c r="AY38" s="388"/>
    </row>
    <row r="39" spans="1:51" ht="15" customHeight="1">
      <c r="A39" s="47">
        <f t="shared" si="10"/>
        <v>32</v>
      </c>
      <c r="B39" s="52"/>
      <c r="C39" s="52">
        <f t="shared" si="11"/>
        <v>423</v>
      </c>
      <c r="D39" s="46"/>
      <c r="E39" s="539"/>
      <c r="F39" s="528"/>
      <c r="G39" s="529"/>
      <c r="H39" s="529"/>
      <c r="I39" s="529"/>
      <c r="J39" s="530"/>
      <c r="K39" s="532"/>
      <c r="L39" s="536"/>
      <c r="M39" s="538"/>
      <c r="N39" s="536"/>
      <c r="O39" s="534"/>
      <c r="P39" s="585"/>
      <c r="Q39" s="545"/>
      <c r="R39" s="581"/>
      <c r="S39" s="105"/>
      <c r="T39" s="252"/>
      <c r="U39" s="256"/>
      <c r="V39" s="252"/>
      <c r="W39" s="621"/>
      <c r="X39" s="253"/>
      <c r="Y39" s="253"/>
      <c r="Z39" s="571"/>
      <c r="AA39" s="571"/>
      <c r="AB39" s="571"/>
      <c r="AC39" s="571"/>
      <c r="AD39" s="246"/>
      <c r="AE39" s="246"/>
      <c r="AF39" s="54"/>
      <c r="AG39" s="54"/>
      <c r="AH39" s="385"/>
      <c r="AI39" s="410"/>
      <c r="AJ39" s="410"/>
      <c r="AK39" s="410"/>
      <c r="AL39" s="410"/>
      <c r="AM39" s="410"/>
      <c r="AN39" s="410"/>
      <c r="AO39" s="413"/>
      <c r="AP39" s="411"/>
      <c r="AQ39" s="411"/>
      <c r="AR39" s="411"/>
      <c r="AS39" s="411"/>
      <c r="AT39" s="411"/>
      <c r="AU39" s="411"/>
      <c r="AV39" s="411"/>
      <c r="AW39" s="412"/>
      <c r="AX39" s="388"/>
      <c r="AY39" s="388"/>
    </row>
    <row r="40" spans="1:51" ht="15" customHeight="1">
      <c r="A40" s="47">
        <f t="shared" si="10"/>
        <v>33</v>
      </c>
      <c r="B40" s="52"/>
      <c r="C40" s="52">
        <f t="shared" si="11"/>
        <v>423</v>
      </c>
      <c r="D40" s="46"/>
      <c r="E40" s="539"/>
      <c r="F40" s="525" t="s">
        <v>2712</v>
      </c>
      <c r="G40" s="526"/>
      <c r="H40" s="526"/>
      <c r="I40" s="526"/>
      <c r="J40" s="527"/>
      <c r="K40" s="531"/>
      <c r="L40" s="535"/>
      <c r="M40" s="537">
        <f>O40*0.1</f>
        <v>0.71563025882352982</v>
      </c>
      <c r="N40" s="535" t="s">
        <v>2155</v>
      </c>
      <c r="O40" s="533">
        <f>(O34*2)+(O32*2)+O30+O28</f>
        <v>7.156302588235298</v>
      </c>
      <c r="P40" s="572" t="s">
        <v>13</v>
      </c>
      <c r="Q40" s="544"/>
      <c r="R40" s="580"/>
      <c r="S40" s="105"/>
      <c r="T40" s="252"/>
      <c r="U40" s="252"/>
      <c r="V40" s="252"/>
      <c r="W40" s="257">
        <f>VLOOKUP('Лист2 (2)'!K27,'Лист2 (2)'!L27:M29,2)</f>
        <v>600</v>
      </c>
      <c r="X40" s="253"/>
      <c r="Y40" s="253"/>
      <c r="Z40" s="224"/>
      <c r="AA40" s="620">
        <f>((((W40/2)/10)*((W40/2)/10))*3.14159265358979)*'Лист2 (2)'!D9</f>
        <v>7068.5834705770276</v>
      </c>
      <c r="AB40" s="620"/>
      <c r="AC40" s="247" t="s">
        <v>12</v>
      </c>
      <c r="AD40" s="246"/>
      <c r="AE40" s="246"/>
      <c r="AF40" s="54"/>
      <c r="AG40" s="54"/>
      <c r="AH40" s="385"/>
      <c r="AI40" s="410"/>
      <c r="AJ40" s="410" t="str">
        <f>F40</f>
        <v>Мастика Мастика битумно-полимерная холодная для торца сваи</v>
      </c>
      <c r="AK40" s="410"/>
      <c r="AL40" s="410"/>
      <c r="AM40" s="410"/>
      <c r="AN40" s="410"/>
      <c r="AO40" s="411">
        <f t="shared" ref="AO40:AV40" si="17">K40</f>
        <v>0</v>
      </c>
      <c r="AP40" s="411">
        <f t="shared" si="17"/>
        <v>0</v>
      </c>
      <c r="AQ40" s="411">
        <f t="shared" si="17"/>
        <v>0.71563025882352982</v>
      </c>
      <c r="AR40" s="411" t="str">
        <f t="shared" si="17"/>
        <v>кг.</v>
      </c>
      <c r="AS40" s="411">
        <f t="shared" si="17"/>
        <v>7.156302588235298</v>
      </c>
      <c r="AT40" s="411" t="str">
        <f t="shared" si="17"/>
        <v>м.кв.</v>
      </c>
      <c r="AU40" s="411">
        <f t="shared" si="17"/>
        <v>0</v>
      </c>
      <c r="AV40" s="411">
        <f t="shared" si="17"/>
        <v>0</v>
      </c>
      <c r="AW40" s="412"/>
      <c r="AX40" s="388"/>
      <c r="AY40" s="388"/>
    </row>
    <row r="41" spans="1:51" ht="15" customHeight="1" thickBot="1">
      <c r="A41" s="47">
        <f t="shared" si="10"/>
        <v>34</v>
      </c>
      <c r="B41" s="52"/>
      <c r="C41" s="52">
        <f t="shared" si="11"/>
        <v>423</v>
      </c>
      <c r="D41" s="46"/>
      <c r="E41" s="539"/>
      <c r="F41" s="610"/>
      <c r="G41" s="611"/>
      <c r="H41" s="611"/>
      <c r="I41" s="611"/>
      <c r="J41" s="612"/>
      <c r="K41" s="613"/>
      <c r="L41" s="614"/>
      <c r="M41" s="615"/>
      <c r="N41" s="614"/>
      <c r="O41" s="551"/>
      <c r="P41" s="573"/>
      <c r="Q41" s="605"/>
      <c r="R41" s="606"/>
      <c r="S41" s="123"/>
      <c r="T41" s="252"/>
      <c r="U41" s="619" t="s">
        <v>2635</v>
      </c>
      <c r="V41" s="619"/>
      <c r="W41" s="245">
        <f>VLOOKUP('Лист2 (2)'!K30,'Лист2 (2)'!L30:M32,2)</f>
        <v>300</v>
      </c>
      <c r="X41" s="245" t="s">
        <v>2616</v>
      </c>
      <c r="Y41" s="253"/>
      <c r="Z41" s="224"/>
      <c r="AA41" s="249"/>
      <c r="AB41" s="249"/>
      <c r="AC41" s="249"/>
      <c r="AD41" s="246"/>
      <c r="AE41" s="246"/>
      <c r="AF41" s="54"/>
      <c r="AG41" s="54"/>
      <c r="AH41" s="385"/>
      <c r="AI41" s="410"/>
      <c r="AJ41" s="410"/>
      <c r="AK41" s="410"/>
      <c r="AL41" s="410"/>
      <c r="AM41" s="410"/>
      <c r="AN41" s="410"/>
      <c r="AO41" s="413"/>
      <c r="AP41" s="411"/>
      <c r="AQ41" s="411"/>
      <c r="AR41" s="411"/>
      <c r="AS41" s="411"/>
      <c r="AT41" s="411"/>
      <c r="AU41" s="411"/>
      <c r="AV41" s="411"/>
      <c r="AW41" s="412"/>
      <c r="AX41" s="388"/>
      <c r="AY41" s="388"/>
    </row>
    <row r="42" spans="1:51" ht="15" customHeight="1" thickTop="1">
      <c r="A42" s="47">
        <f t="shared" si="10"/>
        <v>35</v>
      </c>
      <c r="B42" s="52"/>
      <c r="C42" s="52">
        <f t="shared" si="11"/>
        <v>423</v>
      </c>
      <c r="D42" s="46"/>
      <c r="E42" s="51"/>
      <c r="F42" s="124"/>
      <c r="G42" s="124"/>
      <c r="H42" s="124"/>
      <c r="I42" s="124"/>
      <c r="J42" s="124"/>
      <c r="K42" s="124"/>
      <c r="L42" s="124"/>
      <c r="M42" s="124"/>
      <c r="N42" s="123"/>
      <c r="O42" s="67"/>
      <c r="P42" s="67"/>
      <c r="Q42" s="67"/>
      <c r="R42" s="67"/>
      <c r="S42" s="123"/>
      <c r="T42" s="255"/>
      <c r="U42" s="252"/>
      <c r="V42" s="245"/>
      <c r="W42" s="245"/>
      <c r="X42" s="245"/>
      <c r="Y42" s="253"/>
      <c r="Z42" s="249"/>
      <c r="AA42" s="249"/>
      <c r="AB42" s="249"/>
      <c r="AC42" s="249"/>
      <c r="AD42" s="250"/>
      <c r="AE42" s="250"/>
      <c r="AF42" s="238"/>
      <c r="AG42" s="54"/>
      <c r="AH42" s="385"/>
      <c r="AI42" s="410"/>
      <c r="AJ42" s="410"/>
      <c r="AK42" s="410"/>
      <c r="AL42" s="410"/>
      <c r="AM42" s="399"/>
      <c r="AN42" s="414"/>
      <c r="AO42" s="412"/>
      <c r="AP42" s="412"/>
      <c r="AQ42" s="412"/>
      <c r="AR42" s="412"/>
      <c r="AS42" s="412"/>
      <c r="AT42" s="412"/>
      <c r="AU42" s="412"/>
      <c r="AV42" s="412"/>
      <c r="AW42" s="412"/>
      <c r="AX42" s="388"/>
      <c r="AY42" s="388"/>
    </row>
    <row r="43" spans="1:51" ht="15" customHeight="1">
      <c r="A43" s="47">
        <f t="shared" si="10"/>
        <v>36</v>
      </c>
      <c r="B43" s="52"/>
      <c r="C43" s="52">
        <f t="shared" si="11"/>
        <v>423</v>
      </c>
      <c r="D43" s="46"/>
      <c r="E43" s="51"/>
      <c r="F43" s="124"/>
      <c r="G43" s="124"/>
      <c r="H43" s="124"/>
      <c r="I43" s="124"/>
      <c r="J43" s="124"/>
      <c r="K43" s="124"/>
      <c r="L43" s="124"/>
      <c r="M43" s="124"/>
      <c r="N43" s="123"/>
      <c r="O43" s="67"/>
      <c r="P43" s="67"/>
      <c r="Q43" s="67"/>
      <c r="R43" s="67"/>
      <c r="S43" s="123"/>
      <c r="T43" s="255"/>
      <c r="U43" s="255"/>
      <c r="V43" s="253"/>
      <c r="W43" s="253"/>
      <c r="X43" s="253"/>
      <c r="Y43" s="253"/>
      <c r="AD43" s="237"/>
      <c r="AE43" s="237"/>
      <c r="AF43" s="238"/>
      <c r="AG43" s="54"/>
      <c r="AH43" s="54"/>
      <c r="AI43" s="54"/>
      <c r="AJ43" s="54"/>
      <c r="AK43" s="54"/>
      <c r="AL43" s="54"/>
      <c r="AM43" s="28"/>
      <c r="AN43" s="31"/>
    </row>
    <row r="44" spans="1:51" ht="15" customHeight="1">
      <c r="A44" s="47">
        <f t="shared" si="10"/>
        <v>37</v>
      </c>
      <c r="B44" s="52"/>
      <c r="C44" s="52">
        <f t="shared" si="11"/>
        <v>423</v>
      </c>
      <c r="D44" s="46"/>
      <c r="E44" s="51"/>
      <c r="F44" s="55"/>
      <c r="G44" s="55"/>
      <c r="H44" s="105"/>
      <c r="I44" s="105"/>
      <c r="J44" s="108"/>
      <c r="K44" s="108"/>
      <c r="L44" s="109"/>
      <c r="M44" s="109"/>
      <c r="N44" s="123"/>
      <c r="O44" s="123"/>
      <c r="P44" s="123"/>
      <c r="Q44" s="123"/>
      <c r="R44" s="123"/>
      <c r="S44" s="123"/>
      <c r="T44" s="255"/>
      <c r="U44" s="255"/>
      <c r="V44" s="253"/>
      <c r="W44" s="253"/>
      <c r="X44" s="253"/>
      <c r="Y44" s="253"/>
      <c r="AE44" s="237"/>
      <c r="AF44" s="238"/>
      <c r="AG44" s="54"/>
      <c r="AH44" s="54"/>
      <c r="AI44" s="54"/>
      <c r="AJ44" s="54"/>
      <c r="AK44" s="54"/>
      <c r="AL44" s="54"/>
      <c r="AM44" s="28"/>
      <c r="AN44" s="31"/>
    </row>
    <row r="45" spans="1:51" ht="14.25" customHeight="1">
      <c r="A45" s="47">
        <f t="shared" si="10"/>
        <v>38</v>
      </c>
      <c r="B45" s="52"/>
      <c r="C45" s="52">
        <f t="shared" si="11"/>
        <v>423</v>
      </c>
      <c r="D45" s="46"/>
      <c r="E45" s="51"/>
      <c r="F45" s="55"/>
      <c r="G45" s="55"/>
      <c r="H45" s="105"/>
      <c r="I45" s="105"/>
      <c r="J45" s="108"/>
      <c r="K45" s="108"/>
      <c r="L45" s="109"/>
      <c r="M45" s="109"/>
      <c r="N45" s="106"/>
      <c r="O45" s="107"/>
      <c r="P45" s="107"/>
      <c r="Q45" s="107"/>
      <c r="R45" s="107"/>
      <c r="S45" s="51"/>
      <c r="T45" s="232"/>
      <c r="U45" s="231"/>
      <c r="V45" s="229"/>
      <c r="W45" s="229"/>
      <c r="X45" s="225"/>
      <c r="AC45" s="242"/>
      <c r="AD45" s="243"/>
      <c r="AF45" s="238"/>
      <c r="AG45" s="54"/>
      <c r="AH45" s="54"/>
      <c r="AI45" s="54"/>
      <c r="AJ45" s="54"/>
      <c r="AK45" s="54"/>
      <c r="AL45" s="54"/>
      <c r="AM45" s="28"/>
      <c r="AN45" s="31"/>
    </row>
    <row r="46" spans="1:51" ht="6.75" customHeight="1">
      <c r="A46" s="47">
        <f t="shared" si="10"/>
        <v>39</v>
      </c>
      <c r="B46" s="52"/>
      <c r="C46" s="52">
        <f t="shared" si="11"/>
        <v>423</v>
      </c>
      <c r="D46" s="51"/>
      <c r="E46" s="51"/>
      <c r="F46" s="550"/>
      <c r="G46" s="550"/>
      <c r="H46" s="550"/>
      <c r="I46" s="550"/>
      <c r="J46" s="550"/>
      <c r="K46" s="550"/>
      <c r="L46" s="550"/>
      <c r="M46" s="550"/>
      <c r="N46" s="550"/>
      <c r="O46" s="550"/>
      <c r="P46" s="550"/>
      <c r="Q46" s="550"/>
      <c r="R46" s="550"/>
      <c r="S46" s="550"/>
      <c r="T46" s="232"/>
      <c r="U46" s="231"/>
      <c r="V46" s="229"/>
      <c r="W46" s="229"/>
      <c r="X46" s="229"/>
      <c r="Z46" s="240"/>
      <c r="AA46" s="240"/>
      <c r="AB46" s="244"/>
      <c r="AC46" s="124"/>
      <c r="AD46" s="124"/>
      <c r="AF46" s="238"/>
      <c r="AG46" s="54"/>
      <c r="AH46" s="54"/>
      <c r="AI46" s="54"/>
      <c r="AJ46" s="54"/>
      <c r="AK46" s="54"/>
      <c r="AL46" s="54"/>
      <c r="AM46" s="28"/>
      <c r="AN46" s="31"/>
    </row>
    <row r="47" spans="1:51" ht="14.25" customHeight="1">
      <c r="A47" s="47">
        <f t="shared" si="10"/>
        <v>40</v>
      </c>
      <c r="B47" s="52"/>
      <c r="C47" s="52">
        <f t="shared" si="11"/>
        <v>423</v>
      </c>
      <c r="D47" s="51"/>
      <c r="E47" s="51"/>
      <c r="F47" s="550"/>
      <c r="G47" s="550"/>
      <c r="H47" s="550"/>
      <c r="I47" s="550"/>
      <c r="J47" s="550"/>
      <c r="K47" s="550"/>
      <c r="L47" s="550"/>
      <c r="M47" s="550"/>
      <c r="N47" s="550"/>
      <c r="O47" s="550"/>
      <c r="P47" s="550"/>
      <c r="Q47" s="550"/>
      <c r="R47" s="550"/>
      <c r="S47" s="550"/>
      <c r="T47" s="231"/>
      <c r="U47" s="231"/>
      <c r="V47" s="229"/>
      <c r="W47" s="229"/>
      <c r="X47" s="229"/>
      <c r="Y47" s="229"/>
      <c r="Z47" s="239"/>
      <c r="AA47" s="239"/>
      <c r="AB47" s="239"/>
      <c r="AC47" s="238"/>
      <c r="AD47" s="237"/>
      <c r="AE47" s="237"/>
      <c r="AF47" s="238"/>
      <c r="AG47" s="54"/>
      <c r="AH47" s="54"/>
      <c r="AI47" s="54"/>
      <c r="AJ47" s="54"/>
      <c r="AK47" s="54"/>
      <c r="AL47" s="54"/>
      <c r="AM47" s="28"/>
      <c r="AN47" s="31"/>
    </row>
    <row r="48" spans="1:51" ht="14.25" customHeight="1">
      <c r="A48" s="47">
        <f t="shared" si="10"/>
        <v>41</v>
      </c>
      <c r="B48" s="52"/>
      <c r="C48" s="52">
        <f t="shared" si="11"/>
        <v>423</v>
      </c>
      <c r="D48" s="46"/>
      <c r="E48" s="51"/>
      <c r="F48" s="550"/>
      <c r="G48" s="550"/>
      <c r="H48" s="550"/>
      <c r="I48" s="550"/>
      <c r="J48" s="550"/>
      <c r="K48" s="550"/>
      <c r="L48" s="550"/>
      <c r="M48" s="550"/>
      <c r="N48" s="550"/>
      <c r="O48" s="550"/>
      <c r="P48" s="550"/>
      <c r="Q48" s="550"/>
      <c r="R48" s="550"/>
      <c r="S48" s="550"/>
      <c r="T48" s="231"/>
      <c r="U48" s="231"/>
      <c r="V48" s="229"/>
      <c r="W48" s="229"/>
      <c r="X48" s="227"/>
      <c r="Y48" s="229"/>
      <c r="Z48" s="229"/>
      <c r="AA48" s="229"/>
      <c r="AB48" s="229"/>
      <c r="AC48" s="54"/>
      <c r="AD48" s="28"/>
      <c r="AE48" s="28"/>
      <c r="AF48" s="28"/>
      <c r="AG48" s="28"/>
      <c r="AH48" s="28"/>
      <c r="AJ48" s="104"/>
      <c r="AK48" s="104"/>
      <c r="AL48" s="104"/>
      <c r="AM48" s="28"/>
      <c r="AN48" s="31"/>
    </row>
    <row r="49" spans="1:40" ht="9.75" customHeight="1">
      <c r="A49" s="47">
        <f t="shared" si="10"/>
        <v>42</v>
      </c>
      <c r="B49" s="52"/>
      <c r="C49" s="52">
        <f t="shared" si="11"/>
        <v>423</v>
      </c>
      <c r="D49" s="46"/>
      <c r="E49" s="51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231"/>
      <c r="U49" s="231"/>
      <c r="V49" s="229"/>
      <c r="W49" s="229"/>
      <c r="X49" s="227"/>
      <c r="Y49" s="229"/>
      <c r="Z49" s="229"/>
      <c r="AA49" s="229"/>
      <c r="AB49" s="229"/>
      <c r="AC49" s="54"/>
      <c r="AD49" s="28"/>
      <c r="AE49" s="28"/>
      <c r="AF49" s="28"/>
      <c r="AG49" s="28"/>
      <c r="AH49" s="28"/>
      <c r="AI49" s="104"/>
      <c r="AJ49" s="104"/>
      <c r="AK49" s="104"/>
      <c r="AL49" s="104"/>
      <c r="AM49" s="28"/>
      <c r="AN49" s="31"/>
    </row>
    <row r="50" spans="1:40" ht="10.5" customHeight="1">
      <c r="A50" s="47">
        <f t="shared" si="10"/>
        <v>43</v>
      </c>
      <c r="B50" s="52"/>
      <c r="C50" s="52">
        <f t="shared" si="11"/>
        <v>423</v>
      </c>
      <c r="D50" s="51"/>
      <c r="E50" s="51"/>
      <c r="F50" s="550"/>
      <c r="G50" s="550"/>
      <c r="H50" s="550"/>
      <c r="I50" s="550"/>
      <c r="J50" s="550"/>
      <c r="K50" s="550"/>
      <c r="L50" s="550"/>
      <c r="M50" s="550"/>
      <c r="N50" s="550"/>
      <c r="O50" s="550"/>
      <c r="P50" s="550"/>
      <c r="Q50" s="550"/>
      <c r="R50" s="550"/>
      <c r="S50" s="550"/>
      <c r="T50" s="231"/>
      <c r="U50" s="231"/>
      <c r="V50" s="229"/>
      <c r="W50" s="229"/>
      <c r="X50" s="227"/>
      <c r="Y50" s="229"/>
      <c r="Z50" s="229"/>
      <c r="AA50" s="229"/>
      <c r="AB50" s="229"/>
      <c r="AC50" s="54"/>
      <c r="AD50" s="28"/>
      <c r="AE50" s="28"/>
      <c r="AF50" s="28"/>
      <c r="AG50" s="28"/>
      <c r="AH50" s="28"/>
      <c r="AI50" s="104"/>
      <c r="AJ50" s="104"/>
      <c r="AK50" s="104"/>
      <c r="AL50" s="104"/>
      <c r="AM50" s="28"/>
      <c r="AN50" s="31"/>
    </row>
    <row r="51" spans="1:40" ht="11.25" customHeight="1">
      <c r="A51" s="47">
        <f t="shared" si="10"/>
        <v>44</v>
      </c>
      <c r="B51" s="52"/>
      <c r="C51" s="52">
        <f t="shared" si="11"/>
        <v>423</v>
      </c>
      <c r="D51" s="51"/>
      <c r="E51" s="51"/>
      <c r="F51" s="57"/>
      <c r="G51" s="57"/>
      <c r="H51" s="57"/>
      <c r="I51" s="57"/>
      <c r="J51" s="111"/>
      <c r="K51" s="111"/>
      <c r="L51" s="57"/>
      <c r="M51" s="57"/>
      <c r="N51" s="57"/>
      <c r="O51" s="29"/>
      <c r="P51" s="29"/>
      <c r="Q51" s="29"/>
      <c r="R51" s="29"/>
      <c r="S51" s="57"/>
      <c r="T51" s="231"/>
      <c r="U51" s="231"/>
      <c r="V51" s="231"/>
      <c r="W51" s="231"/>
      <c r="X51" s="231"/>
      <c r="Y51" s="231"/>
      <c r="Z51" s="231"/>
      <c r="AA51" s="231"/>
      <c r="AB51" s="231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31"/>
    </row>
    <row r="52" spans="1:40" ht="9.75" customHeight="1">
      <c r="A52" s="47">
        <f t="shared" si="10"/>
        <v>45</v>
      </c>
      <c r="B52" s="52"/>
      <c r="C52" s="52">
        <f t="shared" si="11"/>
        <v>423</v>
      </c>
      <c r="D52" s="51"/>
      <c r="E52" s="51"/>
      <c r="F52" s="57"/>
      <c r="G52" s="57"/>
      <c r="H52" s="57"/>
      <c r="I52" s="57"/>
      <c r="J52" s="111"/>
      <c r="K52" s="111"/>
      <c r="L52" s="57"/>
      <c r="M52" s="57"/>
      <c r="N52" s="57"/>
      <c r="O52" s="29"/>
      <c r="P52" s="29"/>
      <c r="Q52" s="29"/>
      <c r="R52" s="29"/>
      <c r="S52" s="57"/>
      <c r="T52" s="231"/>
      <c r="U52" s="231"/>
      <c r="V52" s="231"/>
      <c r="W52" s="231"/>
      <c r="X52" s="231"/>
      <c r="Y52" s="231"/>
      <c r="Z52" s="231"/>
      <c r="AA52" s="231"/>
      <c r="AB52" s="231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31"/>
    </row>
    <row r="53" spans="1:40" ht="11.25" customHeight="1">
      <c r="A53" s="47">
        <f t="shared" si="10"/>
        <v>46</v>
      </c>
      <c r="B53" s="52"/>
      <c r="C53" s="52">
        <f t="shared" si="11"/>
        <v>423</v>
      </c>
      <c r="D53" s="51"/>
      <c r="E53" s="51"/>
      <c r="F53" s="57"/>
      <c r="G53" s="57"/>
      <c r="H53" s="57"/>
      <c r="I53" s="57"/>
      <c r="J53" s="111"/>
      <c r="K53" s="111"/>
      <c r="L53" s="57"/>
      <c r="M53" s="57"/>
      <c r="N53" s="57"/>
      <c r="O53" s="29"/>
      <c r="P53" s="29"/>
      <c r="Q53" s="29"/>
      <c r="R53" s="29"/>
      <c r="S53" s="57"/>
      <c r="T53" s="231"/>
      <c r="U53" s="231"/>
      <c r="V53" s="231"/>
      <c r="W53" s="231"/>
      <c r="X53" s="231"/>
      <c r="Y53" s="231"/>
      <c r="Z53" s="231"/>
      <c r="AA53" s="231"/>
      <c r="AB53" s="231"/>
      <c r="AC53" s="57"/>
      <c r="AD53" s="57"/>
      <c r="AE53" s="57"/>
      <c r="AF53" s="57"/>
      <c r="AG53" s="57"/>
      <c r="AH53" s="57"/>
      <c r="AI53" s="57"/>
      <c r="AJ53" s="57"/>
      <c r="AK53" s="57"/>
      <c r="AL53" s="42"/>
      <c r="AM53" s="57"/>
      <c r="AN53" s="31"/>
    </row>
    <row r="54" spans="1:40" ht="11.25" customHeight="1">
      <c r="A54" s="47">
        <f t="shared" si="10"/>
        <v>47</v>
      </c>
      <c r="B54" s="52"/>
      <c r="C54" s="52">
        <f t="shared" si="11"/>
        <v>423</v>
      </c>
      <c r="D54" s="51"/>
      <c r="E54" s="51"/>
      <c r="F54" s="57"/>
      <c r="G54" s="57"/>
      <c r="H54" s="57"/>
      <c r="I54" s="57"/>
      <c r="J54" s="57"/>
      <c r="K54" s="57"/>
      <c r="L54" s="57"/>
      <c r="M54" s="57"/>
      <c r="N54" s="57"/>
      <c r="O54" s="29"/>
      <c r="P54" s="29"/>
      <c r="Q54" s="29"/>
      <c r="R54" s="29"/>
      <c r="S54" s="51"/>
      <c r="T54" s="231"/>
      <c r="U54" s="231"/>
      <c r="V54" s="231"/>
      <c r="W54" s="231"/>
      <c r="X54" s="231"/>
      <c r="Y54" s="231"/>
      <c r="Z54" s="231"/>
      <c r="AA54" s="231"/>
      <c r="AB54" s="231"/>
      <c r="AC54" s="57"/>
      <c r="AD54" s="57"/>
      <c r="AE54" s="57"/>
      <c r="AF54" s="57"/>
      <c r="AG54" s="57"/>
      <c r="AH54" s="57"/>
      <c r="AI54" s="57"/>
      <c r="AJ54" s="43"/>
      <c r="AK54" s="43"/>
      <c r="AL54" s="42"/>
      <c r="AM54" s="57"/>
      <c r="AN54" s="31"/>
    </row>
    <row r="55" spans="1:40" ht="11.25" customHeight="1">
      <c r="A55" s="47">
        <f t="shared" si="10"/>
        <v>48</v>
      </c>
      <c r="B55" s="52"/>
      <c r="C55" s="52">
        <f t="shared" si="11"/>
        <v>423</v>
      </c>
      <c r="D55" s="51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29"/>
      <c r="P55" s="29"/>
      <c r="Q55" s="29"/>
      <c r="R55" s="29"/>
      <c r="S55" s="51"/>
      <c r="T55" s="231"/>
      <c r="U55" s="231"/>
      <c r="V55" s="231"/>
      <c r="W55" s="231"/>
      <c r="X55" s="231"/>
      <c r="Y55" s="231"/>
      <c r="Z55" s="231"/>
      <c r="AA55" s="231"/>
      <c r="AB55" s="231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31"/>
    </row>
    <row r="56" spans="1:40" ht="11.25" customHeight="1">
      <c r="A56" s="47">
        <f t="shared" si="10"/>
        <v>49</v>
      </c>
      <c r="B56" s="52"/>
      <c r="C56" s="52">
        <f t="shared" si="11"/>
        <v>423</v>
      </c>
      <c r="D56" s="51"/>
      <c r="E56" s="51"/>
      <c r="F56" s="57"/>
      <c r="G56" s="57"/>
      <c r="H56" s="57"/>
      <c r="I56" s="57"/>
      <c r="J56" s="57"/>
      <c r="K56" s="57"/>
      <c r="L56" s="57"/>
      <c r="M56" s="57"/>
      <c r="N56" s="57"/>
      <c r="O56" s="29"/>
      <c r="P56" s="29"/>
      <c r="Q56" s="29"/>
      <c r="R56" s="29"/>
      <c r="S56" s="51"/>
      <c r="T56" s="231"/>
      <c r="U56" s="231"/>
      <c r="V56" s="231"/>
      <c r="Z56" s="231"/>
      <c r="AA56" s="231"/>
      <c r="AB56" s="231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31"/>
    </row>
    <row r="57" spans="1:40" ht="11.25" customHeight="1">
      <c r="A57" s="47">
        <f t="shared" si="10"/>
        <v>50</v>
      </c>
      <c r="B57" s="52"/>
      <c r="C57" s="52">
        <f t="shared" si="11"/>
        <v>423</v>
      </c>
      <c r="D57" s="51"/>
      <c r="E57" s="51"/>
      <c r="F57" s="57"/>
      <c r="G57" s="57"/>
      <c r="H57" s="57"/>
      <c r="I57" s="57"/>
      <c r="J57" s="57"/>
      <c r="K57" s="57"/>
      <c r="L57" s="57"/>
      <c r="M57" s="57"/>
      <c r="N57" s="57"/>
      <c r="O57" s="29"/>
      <c r="P57" s="29"/>
      <c r="Q57" s="29"/>
      <c r="R57" s="29"/>
      <c r="S57" s="51"/>
      <c r="T57" s="231"/>
      <c r="U57" s="231"/>
      <c r="V57" s="231"/>
      <c r="Z57" s="231"/>
      <c r="AA57" s="231"/>
      <c r="AB57" s="231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31"/>
    </row>
    <row r="58" spans="1:40" ht="11.25" customHeight="1">
      <c r="A58" s="47">
        <f t="shared" si="10"/>
        <v>51</v>
      </c>
      <c r="B58" s="52"/>
      <c r="C58" s="52">
        <f t="shared" si="11"/>
        <v>423</v>
      </c>
      <c r="D58" s="51"/>
      <c r="E58" s="51"/>
      <c r="F58" s="57"/>
      <c r="G58" s="57"/>
      <c r="H58" s="57"/>
      <c r="I58" s="57"/>
      <c r="J58" s="57"/>
      <c r="K58" s="57"/>
      <c r="L58" s="57"/>
      <c r="M58" s="57"/>
      <c r="N58" s="57"/>
      <c r="O58" s="29"/>
      <c r="P58" s="29"/>
      <c r="Q58" s="29"/>
      <c r="R58" s="29"/>
      <c r="S58" s="51"/>
      <c r="T58" s="231"/>
      <c r="U58" s="231"/>
      <c r="V58" s="231"/>
      <c r="W58" s="231"/>
      <c r="X58" s="231"/>
      <c r="Y58" s="231"/>
      <c r="Z58" s="231"/>
      <c r="AA58" s="231"/>
      <c r="AB58" s="231"/>
      <c r="AC58" s="57"/>
      <c r="AD58" s="57"/>
      <c r="AE58" s="57"/>
      <c r="AF58" s="57"/>
      <c r="AG58" s="57"/>
      <c r="AH58" s="57"/>
      <c r="AI58" s="57"/>
      <c r="AJ58" s="43"/>
      <c r="AK58" s="43"/>
      <c r="AL58" s="42"/>
      <c r="AM58" s="57"/>
      <c r="AN58" s="31"/>
    </row>
    <row r="59" spans="1:40" ht="11.25" customHeight="1">
      <c r="A59" s="47">
        <f t="shared" si="10"/>
        <v>52</v>
      </c>
      <c r="B59" s="52"/>
      <c r="C59" s="52">
        <f t="shared" si="11"/>
        <v>423</v>
      </c>
      <c r="D59" s="51"/>
      <c r="E59" s="51"/>
      <c r="F59" s="57"/>
      <c r="G59" s="57"/>
      <c r="H59" s="101">
        <f>H10</f>
        <v>14</v>
      </c>
      <c r="I59" s="57"/>
      <c r="J59" s="57"/>
      <c r="K59" s="57"/>
      <c r="L59" s="57"/>
      <c r="M59" s="57"/>
      <c r="N59" s="57"/>
      <c r="O59" s="53"/>
      <c r="P59" s="53"/>
      <c r="Q59" s="53"/>
      <c r="R59" s="53"/>
      <c r="S59" s="51"/>
      <c r="T59" s="231"/>
      <c r="U59" s="231"/>
      <c r="V59" s="231"/>
      <c r="W59" s="231"/>
      <c r="X59" s="231"/>
      <c r="Y59" s="231"/>
      <c r="Z59" s="231"/>
      <c r="AA59" s="231"/>
      <c r="AB59" s="231"/>
      <c r="AC59" s="57"/>
      <c r="AD59" s="57"/>
      <c r="AE59" s="57"/>
      <c r="AF59" s="57"/>
      <c r="AG59" s="57"/>
      <c r="AH59" s="57"/>
      <c r="AI59" s="57"/>
      <c r="AJ59" s="43"/>
      <c r="AK59" s="43"/>
      <c r="AL59" s="42"/>
      <c r="AM59" s="57"/>
      <c r="AN59" s="31"/>
    </row>
    <row r="60" spans="1:40" ht="11.25" customHeight="1">
      <c r="A60" s="47">
        <f t="shared" si="10"/>
        <v>53</v>
      </c>
      <c r="B60" s="52"/>
      <c r="C60" s="52">
        <f t="shared" si="11"/>
        <v>423</v>
      </c>
      <c r="D60" s="51"/>
      <c r="E60" s="51"/>
      <c r="F60" s="57"/>
      <c r="G60" s="57"/>
      <c r="H60" s="102">
        <f>M18</f>
        <v>40.012740322036706</v>
      </c>
      <c r="I60" s="57"/>
      <c r="J60" s="57"/>
      <c r="K60" s="57"/>
      <c r="L60" s="57"/>
      <c r="M60" s="57"/>
      <c r="N60" s="57"/>
      <c r="O60" s="53"/>
      <c r="P60" s="53"/>
      <c r="Q60" s="53"/>
      <c r="R60" s="53"/>
      <c r="S60" s="51"/>
      <c r="T60" s="231"/>
      <c r="U60" s="231"/>
      <c r="V60" s="231"/>
      <c r="W60" s="231"/>
      <c r="X60" s="231"/>
      <c r="Y60" s="231"/>
      <c r="Z60" s="231"/>
      <c r="AA60" s="231"/>
      <c r="AB60" s="231"/>
      <c r="AC60" s="57"/>
      <c r="AD60" s="57"/>
      <c r="AE60" s="57"/>
      <c r="AF60" s="57"/>
      <c r="AG60" s="57"/>
      <c r="AH60" s="57"/>
      <c r="AI60" s="57"/>
      <c r="AJ60" s="43"/>
      <c r="AK60" s="43"/>
      <c r="AL60" s="42"/>
      <c r="AM60" s="57"/>
      <c r="AN60" s="31"/>
    </row>
    <row r="61" spans="1:40" ht="12.75" hidden="1" customHeight="1">
      <c r="A61" s="47">
        <f t="shared" si="10"/>
        <v>54</v>
      </c>
      <c r="B61" s="52"/>
      <c r="C61" s="52">
        <f t="shared" si="11"/>
        <v>423</v>
      </c>
      <c r="D61" s="51"/>
      <c r="E61" s="51"/>
      <c r="F61" s="57"/>
      <c r="G61" s="57"/>
      <c r="H61" s="101"/>
      <c r="I61" s="57"/>
      <c r="J61" s="57"/>
      <c r="K61" s="57"/>
      <c r="L61" s="57"/>
      <c r="M61" s="57"/>
      <c r="N61" s="57"/>
      <c r="O61" s="53"/>
      <c r="P61" s="53"/>
      <c r="Q61" s="53"/>
      <c r="R61" s="53"/>
      <c r="S61" s="51"/>
      <c r="T61" s="231"/>
      <c r="U61" s="231"/>
      <c r="V61" s="231"/>
      <c r="W61" s="231"/>
      <c r="X61" s="231"/>
      <c r="Y61" s="231"/>
      <c r="Z61" s="231"/>
      <c r="AA61" s="231"/>
      <c r="AB61" s="231"/>
      <c r="AC61" s="57"/>
      <c r="AD61" s="57"/>
      <c r="AE61" s="57"/>
      <c r="AF61" s="57"/>
      <c r="AG61" s="57"/>
      <c r="AH61" s="57"/>
      <c r="AI61" s="57"/>
      <c r="AJ61" s="43"/>
      <c r="AK61" s="43"/>
      <c r="AL61" s="42"/>
      <c r="AM61" s="57"/>
      <c r="AN61" s="31"/>
    </row>
    <row r="62" spans="1:40" ht="12.75" hidden="1" customHeight="1">
      <c r="A62" s="47">
        <f t="shared" si="10"/>
        <v>55</v>
      </c>
      <c r="B62" s="52"/>
      <c r="C62" s="52">
        <f t="shared" si="11"/>
        <v>423</v>
      </c>
      <c r="D62" s="51"/>
      <c r="E62" s="51"/>
      <c r="F62" s="57"/>
      <c r="G62" s="57"/>
      <c r="H62" s="101"/>
      <c r="I62" s="57"/>
      <c r="J62" s="57"/>
      <c r="K62" s="57"/>
      <c r="L62" s="57"/>
      <c r="M62" s="57"/>
      <c r="N62" s="57"/>
      <c r="O62" s="53"/>
      <c r="P62" s="53"/>
      <c r="Q62" s="53"/>
      <c r="R62" s="53"/>
      <c r="S62" s="51"/>
      <c r="T62" s="231"/>
      <c r="U62" s="231"/>
      <c r="V62" s="231"/>
      <c r="W62" s="231"/>
      <c r="X62" s="231"/>
      <c r="Y62" s="231"/>
      <c r="Z62" s="231"/>
      <c r="AA62" s="231"/>
      <c r="AB62" s="231"/>
      <c r="AC62" s="57"/>
      <c r="AD62" s="57"/>
      <c r="AE62" s="57"/>
      <c r="AF62" s="57"/>
      <c r="AG62" s="57"/>
      <c r="AH62" s="57"/>
      <c r="AI62" s="57"/>
      <c r="AJ62" s="43"/>
      <c r="AK62" s="43"/>
      <c r="AL62" s="42"/>
      <c r="AM62" s="57"/>
      <c r="AN62" s="31"/>
    </row>
    <row r="63" spans="1:40" ht="11.25" customHeight="1">
      <c r="A63" s="47">
        <f t="shared" si="10"/>
        <v>56</v>
      </c>
      <c r="B63" s="52"/>
      <c r="C63" s="52">
        <f t="shared" si="11"/>
        <v>423</v>
      </c>
      <c r="D63" s="51"/>
      <c r="E63" s="51"/>
      <c r="F63" s="57"/>
      <c r="G63" s="57"/>
      <c r="H63" s="102">
        <f>M20</f>
        <v>13.272000000000002</v>
      </c>
      <c r="I63" s="57"/>
      <c r="J63" s="57"/>
      <c r="K63" s="57"/>
      <c r="L63" s="57"/>
      <c r="M63" s="57"/>
      <c r="N63" s="57"/>
      <c r="O63" s="53"/>
      <c r="P63" s="53"/>
      <c r="Q63" s="53"/>
      <c r="R63" s="53"/>
      <c r="S63" s="51"/>
      <c r="T63" s="231"/>
      <c r="U63" s="231"/>
      <c r="V63" s="231"/>
      <c r="W63" s="231"/>
      <c r="X63" s="231"/>
      <c r="Y63" s="231"/>
      <c r="Z63" s="231"/>
      <c r="AA63" s="231"/>
      <c r="AB63" s="231"/>
      <c r="AC63" s="57"/>
      <c r="AD63" s="57"/>
      <c r="AE63" s="57"/>
      <c r="AF63" s="57"/>
      <c r="AG63" s="57"/>
      <c r="AH63" s="57"/>
      <c r="AI63" s="57"/>
      <c r="AJ63" s="569">
        <f>AG77-0.24</f>
        <v>0.84804411675262514</v>
      </c>
      <c r="AK63" s="570"/>
      <c r="AL63" s="570"/>
      <c r="AM63" s="570"/>
      <c r="AN63" s="31"/>
    </row>
    <row r="64" spans="1:40" ht="11.25" customHeight="1">
      <c r="A64" s="47">
        <f t="shared" si="10"/>
        <v>57</v>
      </c>
      <c r="B64" s="52"/>
      <c r="C64" s="52">
        <f t="shared" si="11"/>
        <v>423</v>
      </c>
      <c r="D64" s="51"/>
      <c r="E64" s="51"/>
      <c r="F64" s="57"/>
      <c r="G64" s="57"/>
      <c r="H64" s="103">
        <f>O22</f>
        <v>1.3927818033456389</v>
      </c>
      <c r="I64" s="57"/>
      <c r="J64" s="57"/>
      <c r="K64" s="57"/>
      <c r="L64" s="57"/>
      <c r="M64" s="57"/>
      <c r="N64" s="57"/>
      <c r="O64" s="53"/>
      <c r="P64" s="53"/>
      <c r="Q64" s="53"/>
      <c r="R64" s="53"/>
      <c r="S64" s="51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0"/>
      <c r="AK64" s="570"/>
      <c r="AL64" s="570"/>
      <c r="AM64" s="570"/>
      <c r="AN64" s="31"/>
    </row>
    <row r="65" spans="1:40" ht="10.9" customHeight="1">
      <c r="A65" s="47">
        <f t="shared" si="10"/>
        <v>58</v>
      </c>
      <c r="B65" s="52"/>
      <c r="C65" s="52">
        <f t="shared" si="11"/>
        <v>423</v>
      </c>
      <c r="D65" s="51"/>
      <c r="E65" s="51"/>
      <c r="F65" s="57"/>
      <c r="G65" s="57"/>
      <c r="H65" s="102">
        <f>K24</f>
        <v>11.732617634536751</v>
      </c>
      <c r="I65" s="57"/>
      <c r="J65" s="57"/>
      <c r="K65" s="57"/>
      <c r="L65" s="57"/>
      <c r="M65" s="57"/>
      <c r="N65" s="57"/>
      <c r="O65" s="53"/>
      <c r="P65" s="53"/>
      <c r="Q65" s="53"/>
      <c r="R65" s="53"/>
      <c r="S65" s="51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43"/>
      <c r="AK65" s="43"/>
      <c r="AL65" s="42"/>
      <c r="AM65" s="57"/>
      <c r="AN65" s="31"/>
    </row>
    <row r="66" spans="1:40" ht="11.25" customHeight="1">
      <c r="A66" s="47">
        <f t="shared" si="10"/>
        <v>59</v>
      </c>
      <c r="B66" s="52"/>
      <c r="C66" s="52">
        <f t="shared" si="11"/>
        <v>423</v>
      </c>
      <c r="D66" s="51"/>
      <c r="E66" s="51"/>
      <c r="F66" s="57"/>
      <c r="G66" s="57"/>
      <c r="H66" s="101">
        <f>K26</f>
        <v>0</v>
      </c>
      <c r="I66" s="57"/>
      <c r="J66" s="57"/>
      <c r="K66" s="57"/>
      <c r="L66" s="57"/>
      <c r="M66" s="57"/>
      <c r="N66" s="57"/>
      <c r="O66" s="53"/>
      <c r="P66" s="53"/>
      <c r="Q66" s="53"/>
      <c r="R66" s="53"/>
      <c r="S66" s="51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43"/>
      <c r="AK66" s="43"/>
      <c r="AL66" s="42"/>
      <c r="AM66" s="57"/>
      <c r="AN66" s="31"/>
    </row>
    <row r="67" spans="1:40" ht="12.75" hidden="1" customHeight="1" thickBot="1">
      <c r="A67" s="47">
        <f t="shared" si="10"/>
        <v>60</v>
      </c>
      <c r="B67" s="52"/>
      <c r="C67" s="52">
        <f t="shared" si="11"/>
        <v>423</v>
      </c>
      <c r="D67" s="51"/>
      <c r="E67" s="51"/>
      <c r="F67" s="57"/>
      <c r="G67" s="57"/>
      <c r="H67" s="57"/>
      <c r="I67" s="57"/>
      <c r="J67" s="57"/>
      <c r="K67" s="57"/>
      <c r="L67" s="57"/>
      <c r="M67" s="57"/>
      <c r="N67" s="57"/>
      <c r="O67" s="29"/>
      <c r="P67" s="29"/>
      <c r="Q67" s="29"/>
      <c r="R67" s="29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43"/>
      <c r="AK67" s="43"/>
      <c r="AL67" s="42"/>
      <c r="AM67" s="57"/>
      <c r="AN67" s="31"/>
    </row>
    <row r="68" spans="1:40" ht="12.75" hidden="1" customHeight="1" thickTop="1">
      <c r="A68" s="47">
        <f t="shared" si="10"/>
        <v>61</v>
      </c>
      <c r="B68" s="47"/>
      <c r="C68" s="47">
        <f t="shared" si="11"/>
        <v>423</v>
      </c>
      <c r="D68" s="46"/>
      <c r="E68" s="46"/>
      <c r="F68" s="45"/>
      <c r="G68" s="44"/>
      <c r="H68" s="44"/>
      <c r="I68" s="44"/>
      <c r="J68" s="44"/>
      <c r="K68" s="44"/>
      <c r="L68" s="44"/>
      <c r="M68" s="50"/>
      <c r="N68" s="57"/>
      <c r="O68" s="29"/>
      <c r="P68" s="29"/>
      <c r="Q68" s="29"/>
      <c r="R68" s="29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43"/>
      <c r="AK68" s="43"/>
      <c r="AL68" s="42"/>
      <c r="AM68" s="57"/>
      <c r="AN68" s="31"/>
    </row>
    <row r="69" spans="1:40" ht="12.75" hidden="1" customHeight="1">
      <c r="A69" s="47">
        <f t="shared" si="10"/>
        <v>62</v>
      </c>
      <c r="B69" s="47"/>
      <c r="C69" s="47">
        <f t="shared" si="11"/>
        <v>423</v>
      </c>
      <c r="D69" s="46"/>
      <c r="E69" s="46"/>
      <c r="F69" s="45"/>
      <c r="G69" s="44"/>
      <c r="H69" s="44"/>
      <c r="I69" s="44"/>
      <c r="J69" s="44"/>
      <c r="K69" s="44"/>
      <c r="L69" s="48"/>
      <c r="M69" s="49"/>
      <c r="N69" s="57"/>
      <c r="O69" s="29"/>
      <c r="P69" s="29"/>
      <c r="Q69" s="29"/>
      <c r="R69" s="29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43"/>
      <c r="AK69" s="43"/>
      <c r="AL69" s="42"/>
      <c r="AM69" s="57"/>
      <c r="AN69" s="31"/>
    </row>
    <row r="70" spans="1:40" ht="12.75" hidden="1" customHeight="1">
      <c r="A70" s="47">
        <f t="shared" si="10"/>
        <v>63</v>
      </c>
      <c r="B70" s="47"/>
      <c r="C70" s="47">
        <f t="shared" si="11"/>
        <v>423</v>
      </c>
      <c r="D70" s="46"/>
      <c r="E70" s="46"/>
      <c r="F70" s="45"/>
      <c r="G70" s="44"/>
      <c r="H70" s="44"/>
      <c r="I70" s="44"/>
      <c r="J70" s="44"/>
      <c r="K70" s="44"/>
      <c r="L70" s="57"/>
      <c r="M70" s="57"/>
      <c r="N70" s="57"/>
      <c r="O70" s="29"/>
      <c r="P70" s="29"/>
      <c r="Q70" s="29"/>
      <c r="R70" s="29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43"/>
      <c r="AK70" s="43"/>
      <c r="AL70" s="42"/>
      <c r="AM70" s="57"/>
      <c r="AN70" s="31"/>
    </row>
    <row r="71" spans="1:40" ht="12.75" hidden="1" customHeight="1">
      <c r="A71" s="47">
        <f t="shared" si="10"/>
        <v>64</v>
      </c>
      <c r="B71" s="47"/>
      <c r="C71" s="47">
        <f t="shared" si="11"/>
        <v>423</v>
      </c>
      <c r="D71" s="46"/>
      <c r="E71" s="46"/>
      <c r="F71" s="45"/>
      <c r="G71" s="44"/>
      <c r="H71" s="44"/>
      <c r="I71" s="44"/>
      <c r="J71" s="44"/>
      <c r="K71" s="44"/>
      <c r="L71" s="57"/>
      <c r="M71" s="57"/>
      <c r="N71" s="57"/>
      <c r="O71" s="29"/>
      <c r="P71" s="29"/>
      <c r="Q71" s="29"/>
      <c r="R71" s="29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43"/>
      <c r="AK71" s="43"/>
      <c r="AL71" s="42"/>
      <c r="AM71" s="57"/>
      <c r="AN71" s="31"/>
    </row>
    <row r="72" spans="1:40" ht="12.75" hidden="1" customHeight="1">
      <c r="A72" s="47">
        <f t="shared" si="10"/>
        <v>65</v>
      </c>
      <c r="B72" s="47"/>
      <c r="C72" s="47">
        <f t="shared" si="11"/>
        <v>423</v>
      </c>
      <c r="D72" s="46"/>
      <c r="E72" s="46"/>
      <c r="F72" s="45"/>
      <c r="G72" s="44"/>
      <c r="H72" s="44"/>
      <c r="I72" s="44"/>
      <c r="J72" s="48"/>
      <c r="K72" s="48"/>
      <c r="L72" s="57"/>
      <c r="M72" s="57"/>
      <c r="N72" s="57"/>
      <c r="O72" s="29"/>
      <c r="P72" s="29"/>
      <c r="Q72" s="29"/>
      <c r="R72" s="29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43"/>
      <c r="AK72" s="43"/>
      <c r="AL72" s="42"/>
      <c r="AM72" s="57"/>
      <c r="AN72" s="31"/>
    </row>
    <row r="73" spans="1:40" ht="12.75" hidden="1" customHeight="1">
      <c r="A73" s="47">
        <f t="shared" si="10"/>
        <v>66</v>
      </c>
      <c r="B73" s="47"/>
      <c r="C73" s="47">
        <f t="shared" si="11"/>
        <v>423</v>
      </c>
      <c r="D73" s="46"/>
      <c r="E73" s="46"/>
      <c r="F73" s="45"/>
      <c r="G73" s="44"/>
      <c r="H73" s="44"/>
      <c r="I73" s="44"/>
      <c r="J73" s="57"/>
      <c r="K73" s="57"/>
      <c r="L73" s="57"/>
      <c r="M73" s="57"/>
      <c r="N73" s="57"/>
      <c r="O73" s="29"/>
      <c r="P73" s="29"/>
      <c r="Q73" s="29"/>
      <c r="R73" s="29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43"/>
      <c r="AK73" s="43"/>
      <c r="AL73" s="42"/>
      <c r="AM73" s="57"/>
      <c r="AN73" s="31"/>
    </row>
    <row r="74" spans="1:40" ht="12.75" hidden="1" customHeight="1">
      <c r="A74" s="47">
        <f t="shared" si="10"/>
        <v>67</v>
      </c>
      <c r="B74" s="47"/>
      <c r="C74" s="47">
        <f t="shared" si="11"/>
        <v>423</v>
      </c>
      <c r="D74" s="46"/>
      <c r="E74" s="46"/>
      <c r="F74" s="45"/>
      <c r="G74" s="44"/>
      <c r="H74" s="44"/>
      <c r="I74" s="44"/>
      <c r="J74" s="57"/>
      <c r="K74" s="57"/>
      <c r="L74" s="57"/>
      <c r="M74" s="57"/>
      <c r="N74" s="57"/>
      <c r="O74" s="29"/>
      <c r="P74" s="29"/>
      <c r="Q74" s="29"/>
      <c r="R74" s="29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43"/>
      <c r="AK74" s="43"/>
      <c r="AL74" s="42"/>
      <c r="AM74" s="57"/>
      <c r="AN74" s="31"/>
    </row>
    <row r="75" spans="1:40" ht="12.75" hidden="1" customHeight="1" thickBot="1">
      <c r="A75" s="47">
        <f t="shared" si="10"/>
        <v>68</v>
      </c>
      <c r="B75" s="47"/>
      <c r="C75" s="47">
        <f t="shared" si="11"/>
        <v>423</v>
      </c>
      <c r="D75" s="46"/>
      <c r="E75" s="46"/>
      <c r="F75" s="45"/>
      <c r="G75" s="44"/>
      <c r="H75" s="44"/>
      <c r="I75" s="44"/>
      <c r="J75" s="57"/>
      <c r="K75" s="57"/>
      <c r="L75" s="57"/>
      <c r="M75" s="57"/>
      <c r="N75" s="57"/>
      <c r="O75" s="29"/>
      <c r="P75" s="29"/>
      <c r="Q75" s="29"/>
      <c r="R75" s="29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43"/>
      <c r="AK75" s="43"/>
      <c r="AL75" s="42"/>
      <c r="AM75" s="57"/>
      <c r="AN75" s="31"/>
    </row>
    <row r="76" spans="1:40" ht="11.25" customHeight="1">
      <c r="A76" s="30"/>
      <c r="B76" s="30"/>
      <c r="C76" s="30"/>
      <c r="D76" s="57"/>
      <c r="E76" s="57"/>
      <c r="F76" s="549"/>
      <c r="G76" s="549"/>
      <c r="H76" s="549"/>
      <c r="I76" s="549"/>
      <c r="J76" s="549"/>
      <c r="K76" s="549"/>
      <c r="L76" s="549"/>
      <c r="M76" s="549"/>
      <c r="N76" s="549"/>
      <c r="O76" s="549"/>
      <c r="P76" s="549"/>
      <c r="Q76" s="549"/>
      <c r="R76" s="549"/>
      <c r="S76" s="549"/>
      <c r="T76" s="549"/>
      <c r="U76" s="549"/>
      <c r="V76" s="549"/>
      <c r="W76" s="549"/>
      <c r="X76" s="549"/>
      <c r="Y76" s="549"/>
      <c r="Z76" s="549"/>
      <c r="AA76" s="549"/>
      <c r="AB76" s="549"/>
      <c r="AC76" s="549"/>
      <c r="AD76" s="549"/>
      <c r="AE76" s="549"/>
      <c r="AF76" s="549"/>
      <c r="AG76" s="549"/>
      <c r="AH76" s="549"/>
      <c r="AI76" s="549"/>
      <c r="AJ76" s="549"/>
      <c r="AK76" s="549"/>
      <c r="AL76" s="549"/>
      <c r="AM76" s="549"/>
      <c r="AN76" s="31"/>
    </row>
    <row r="77" spans="1:40" ht="11.25" customHeight="1">
      <c r="A77" s="30"/>
      <c r="B77" s="30"/>
      <c r="C77" s="30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104">
        <f>'Лист2 (2)'!H14</f>
        <v>1.0880441167526251</v>
      </c>
      <c r="AH77" s="57"/>
      <c r="AI77" s="57"/>
      <c r="AJ77" s="57"/>
      <c r="AK77" s="57"/>
      <c r="AL77" s="57"/>
      <c r="AM77" s="57"/>
      <c r="AN77" s="31"/>
    </row>
    <row r="78" spans="1:40" ht="11.25" customHeight="1">
      <c r="A78" s="30"/>
      <c r="B78" s="30"/>
      <c r="C78" s="28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31"/>
    </row>
    <row r="79" spans="1:40" ht="11.25" customHeight="1">
      <c r="A79" s="30"/>
      <c r="B79" s="30"/>
      <c r="C79" s="28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31"/>
    </row>
    <row r="80" spans="1:40" ht="11.25" customHeight="1">
      <c r="A80" s="30"/>
      <c r="B80" s="30"/>
      <c r="C80" s="28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31"/>
    </row>
    <row r="81" spans="1:40" ht="11.25" customHeight="1">
      <c r="A81" s="30"/>
      <c r="B81" s="30"/>
      <c r="C81" s="28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31"/>
    </row>
    <row r="82" spans="1:40" ht="11.25" customHeight="1">
      <c r="A82" s="30"/>
      <c r="B82" s="30"/>
      <c r="C82" s="28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31"/>
    </row>
    <row r="83" spans="1:40" ht="11.25" customHeight="1">
      <c r="A83" s="30"/>
      <c r="B83" s="30"/>
      <c r="C83" s="28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29"/>
      <c r="P83" s="29"/>
      <c r="Q83" s="29"/>
      <c r="R83" s="29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31"/>
    </row>
    <row r="84" spans="1:40" ht="11.25" customHeight="1">
      <c r="A84" s="30"/>
      <c r="B84" s="30"/>
      <c r="C84" s="28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29"/>
      <c r="P84" s="29"/>
      <c r="Q84" s="29"/>
      <c r="R84" s="29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31"/>
    </row>
    <row r="85" spans="1:40" ht="11.25" customHeight="1">
      <c r="A85" s="30"/>
      <c r="B85" s="30"/>
      <c r="C85" s="28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29"/>
      <c r="P85" s="29"/>
      <c r="Q85" s="29"/>
      <c r="R85" s="29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31"/>
    </row>
    <row r="86" spans="1:40" ht="11.25" customHeight="1">
      <c r="A86" s="30"/>
      <c r="B86" s="30"/>
      <c r="C86" s="28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29"/>
      <c r="P86" s="29"/>
      <c r="Q86" s="29"/>
      <c r="R86" s="29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31"/>
    </row>
    <row r="87" spans="1:40" ht="11.25" customHeight="1">
      <c r="A87" s="30"/>
      <c r="B87" s="30"/>
      <c r="C87" s="28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29"/>
      <c r="P87" s="29"/>
      <c r="Q87" s="29"/>
      <c r="R87" s="29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31"/>
    </row>
    <row r="88" spans="1:40" ht="11.25" customHeight="1">
      <c r="A88" s="30"/>
      <c r="B88" s="30"/>
      <c r="C88" s="28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29"/>
      <c r="P88" s="29"/>
      <c r="Q88" s="29"/>
      <c r="R88" s="29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31"/>
    </row>
    <row r="89" spans="1:40" ht="11.25" customHeight="1">
      <c r="A89" s="30"/>
      <c r="B89" s="30"/>
      <c r="C89" s="28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29"/>
      <c r="P89" s="29"/>
      <c r="Q89" s="29"/>
      <c r="R89" s="29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31"/>
    </row>
    <row r="90" spans="1:40" ht="11.25" customHeight="1">
      <c r="A90" s="30"/>
      <c r="B90" s="30"/>
      <c r="C90" s="28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29"/>
      <c r="P90" s="29"/>
      <c r="Q90" s="29"/>
      <c r="R90" s="29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31"/>
    </row>
    <row r="91" spans="1:40" ht="11.25" customHeight="1">
      <c r="A91" s="30"/>
      <c r="B91" s="30"/>
      <c r="C91" s="28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29"/>
      <c r="P91" s="29"/>
      <c r="Q91" s="29"/>
      <c r="R91" s="29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31"/>
    </row>
    <row r="92" spans="1:40" ht="11.25" customHeight="1">
      <c r="A92" s="30"/>
      <c r="B92" s="30"/>
      <c r="C92" s="28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29"/>
      <c r="P92" s="29"/>
      <c r="Q92" s="29"/>
      <c r="R92" s="29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31"/>
    </row>
    <row r="93" spans="1:40" ht="11.25" customHeight="1">
      <c r="A93" s="30"/>
      <c r="B93" s="30"/>
      <c r="C93" s="28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29"/>
      <c r="P93" s="29"/>
      <c r="Q93" s="29"/>
      <c r="R93" s="29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31"/>
    </row>
    <row r="94" spans="1:40" ht="11.25" customHeight="1">
      <c r="A94" s="30"/>
      <c r="B94" s="30"/>
      <c r="C94" s="28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29"/>
      <c r="P94" s="29"/>
      <c r="Q94" s="29"/>
      <c r="R94" s="29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31"/>
    </row>
    <row r="95" spans="1:40" ht="11.25" customHeight="1">
      <c r="A95" s="30"/>
      <c r="B95" s="30"/>
      <c r="C95" s="28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29"/>
      <c r="P95" s="29"/>
      <c r="Q95" s="29"/>
      <c r="R95" s="29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31"/>
    </row>
    <row r="96" spans="1:40" ht="11.25" customHeight="1">
      <c r="A96" s="30"/>
      <c r="B96" s="30"/>
      <c r="C96" s="28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29"/>
      <c r="P96" s="29"/>
      <c r="Q96" s="29"/>
      <c r="R96" s="29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31"/>
    </row>
    <row r="97" spans="1:40" ht="11.25" customHeight="1">
      <c r="A97" s="30"/>
      <c r="B97" s="30"/>
      <c r="C97" s="28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29"/>
      <c r="P97" s="29"/>
      <c r="Q97" s="29"/>
      <c r="R97" s="29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31"/>
    </row>
    <row r="98" spans="1:40" ht="11.25" customHeight="1">
      <c r="A98" s="30"/>
      <c r="B98" s="30"/>
      <c r="C98" s="28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29"/>
      <c r="P98" s="29"/>
      <c r="Q98" s="29"/>
      <c r="R98" s="29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31"/>
    </row>
    <row r="99" spans="1:40" ht="11.25" customHeight="1">
      <c r="A99" s="30"/>
      <c r="B99" s="30"/>
      <c r="C99" s="28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29"/>
      <c r="P99" s="29"/>
      <c r="Q99" s="29"/>
      <c r="R99" s="29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31"/>
    </row>
    <row r="100" spans="1:40" ht="11.25" customHeight="1">
      <c r="A100" s="30"/>
      <c r="B100" s="30"/>
      <c r="C100" s="28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29"/>
      <c r="P100" s="29"/>
      <c r="Q100" s="29"/>
      <c r="R100" s="29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31"/>
    </row>
    <row r="101" spans="1:40" ht="11.25" customHeight="1">
      <c r="A101" s="30"/>
      <c r="B101" s="30"/>
      <c r="C101" s="28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29"/>
      <c r="P101" s="29"/>
      <c r="Q101" s="29"/>
      <c r="R101" s="29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31"/>
    </row>
    <row r="102" spans="1:40" ht="11.25" customHeight="1">
      <c r="A102" s="30"/>
      <c r="B102" s="30"/>
      <c r="C102" s="28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29"/>
      <c r="P102" s="29"/>
      <c r="Q102" s="29"/>
      <c r="R102" s="29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31"/>
    </row>
    <row r="103" spans="1:40" ht="11.25" customHeight="1">
      <c r="A103" s="30"/>
      <c r="B103" s="30"/>
      <c r="C103" s="28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29"/>
      <c r="P103" s="29"/>
      <c r="Q103" s="29"/>
      <c r="R103" s="29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31"/>
    </row>
    <row r="104" spans="1:40" ht="11.25" customHeight="1">
      <c r="A104" s="30"/>
      <c r="B104" s="30"/>
      <c r="C104" s="28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29"/>
      <c r="P104" s="29"/>
      <c r="Q104" s="29"/>
      <c r="R104" s="29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31"/>
    </row>
    <row r="105" spans="1:40" ht="11.25" customHeight="1">
      <c r="A105" s="30"/>
      <c r="B105" s="30"/>
      <c r="C105" s="28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29"/>
      <c r="P105" s="29"/>
      <c r="Q105" s="29"/>
      <c r="R105" s="29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31"/>
    </row>
    <row r="106" spans="1:40" ht="11.25" customHeight="1">
      <c r="A106" s="30"/>
      <c r="B106" s="30"/>
      <c r="C106" s="28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29"/>
      <c r="P106" s="29"/>
      <c r="Q106" s="29"/>
      <c r="R106" s="29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31"/>
    </row>
    <row r="107" spans="1:40" ht="11.25" customHeight="1">
      <c r="A107" s="30"/>
      <c r="B107" s="30"/>
      <c r="C107" s="28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29"/>
      <c r="P107" s="29"/>
      <c r="Q107" s="29"/>
      <c r="R107" s="29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31"/>
    </row>
    <row r="108" spans="1:40" ht="11.25" customHeight="1">
      <c r="A108" s="30"/>
      <c r="B108" s="30"/>
      <c r="C108" s="28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29"/>
      <c r="P108" s="29"/>
      <c r="Q108" s="29"/>
      <c r="R108" s="29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31"/>
    </row>
    <row r="109" spans="1:40" ht="11.25" customHeight="1">
      <c r="A109" s="30"/>
      <c r="B109" s="30"/>
      <c r="C109" s="28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29"/>
      <c r="P109" s="29"/>
      <c r="Q109" s="29"/>
      <c r="R109" s="29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31"/>
    </row>
    <row r="110" spans="1:40" ht="11.25" customHeight="1">
      <c r="A110" s="30"/>
      <c r="B110" s="30"/>
      <c r="C110" s="28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29"/>
      <c r="P110" s="29"/>
      <c r="Q110" s="29"/>
      <c r="R110" s="29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31"/>
    </row>
    <row r="111" spans="1:40" ht="11.25" customHeight="1">
      <c r="A111" s="30"/>
      <c r="B111" s="30"/>
      <c r="C111" s="28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29"/>
      <c r="P111" s="29"/>
      <c r="Q111" s="29"/>
      <c r="R111" s="29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31"/>
    </row>
    <row r="112" spans="1:40" ht="11.25" customHeight="1">
      <c r="A112" s="30"/>
      <c r="B112" s="30"/>
      <c r="C112" s="28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29"/>
      <c r="P112" s="29"/>
      <c r="Q112" s="29"/>
      <c r="R112" s="29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31"/>
    </row>
    <row r="113" spans="1:40" ht="11.25" customHeight="1">
      <c r="A113" s="30"/>
      <c r="B113" s="30"/>
      <c r="C113" s="28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29"/>
      <c r="P113" s="29"/>
      <c r="Q113" s="29"/>
      <c r="R113" s="29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31"/>
    </row>
    <row r="114" spans="1:40" ht="11.25" customHeight="1">
      <c r="A114" s="30"/>
      <c r="B114" s="30"/>
      <c r="C114" s="28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29"/>
      <c r="P114" s="29"/>
      <c r="Q114" s="29"/>
      <c r="R114" s="29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31"/>
    </row>
    <row r="115" spans="1:40" ht="11.25" customHeight="1">
      <c r="A115" s="30"/>
      <c r="B115" s="30"/>
      <c r="C115" s="28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29"/>
      <c r="P115" s="29"/>
      <c r="Q115" s="29"/>
      <c r="R115" s="29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31"/>
    </row>
    <row r="116" spans="1:40" ht="11.25" customHeight="1">
      <c r="A116" s="30"/>
      <c r="B116" s="30"/>
      <c r="C116" s="28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29"/>
      <c r="P116" s="29"/>
      <c r="Q116" s="29"/>
      <c r="R116" s="29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31"/>
    </row>
    <row r="117" spans="1:40" ht="11.25" customHeight="1">
      <c r="A117" s="30"/>
      <c r="B117" s="30"/>
      <c r="C117" s="28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29"/>
      <c r="P117" s="29"/>
      <c r="Q117" s="29"/>
      <c r="R117" s="29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31"/>
    </row>
    <row r="118" spans="1:40" ht="11.25" customHeight="1">
      <c r="A118" s="30"/>
      <c r="B118" s="30"/>
      <c r="C118" s="28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29"/>
      <c r="P118" s="29"/>
      <c r="Q118" s="29"/>
      <c r="R118" s="29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31"/>
    </row>
    <row r="119" spans="1:40" ht="11.25" customHeight="1">
      <c r="A119" s="30"/>
      <c r="B119" s="30"/>
      <c r="C119" s="28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29"/>
      <c r="P119" s="29"/>
      <c r="Q119" s="29"/>
      <c r="R119" s="29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31"/>
    </row>
    <row r="120" spans="1:40" ht="11.25" customHeight="1">
      <c r="A120" s="30"/>
      <c r="B120" s="30"/>
      <c r="C120" s="28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29"/>
      <c r="P120" s="29"/>
      <c r="Q120" s="29"/>
      <c r="R120" s="29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31"/>
    </row>
    <row r="121" spans="1:40" ht="11.25" customHeight="1">
      <c r="A121" s="30"/>
      <c r="B121" s="30"/>
      <c r="C121" s="28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29"/>
      <c r="P121" s="29"/>
      <c r="Q121" s="29"/>
      <c r="R121" s="29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31"/>
    </row>
    <row r="122" spans="1:40" ht="11.25" customHeight="1">
      <c r="A122" s="30"/>
      <c r="B122" s="30"/>
      <c r="C122" s="28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29"/>
      <c r="P122" s="29"/>
      <c r="Q122" s="29"/>
      <c r="R122" s="29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31"/>
    </row>
    <row r="123" spans="1:40" ht="11.25" customHeight="1">
      <c r="A123" s="30"/>
      <c r="B123" s="30"/>
      <c r="C123" s="28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29"/>
      <c r="P123" s="29"/>
      <c r="Q123" s="29"/>
      <c r="R123" s="29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31"/>
    </row>
    <row r="124" spans="1:40" ht="11.25" customHeight="1">
      <c r="A124" s="30"/>
      <c r="B124" s="30"/>
      <c r="C124" s="28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29"/>
      <c r="P124" s="29"/>
      <c r="Q124" s="29"/>
      <c r="R124" s="29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31"/>
    </row>
    <row r="125" spans="1:40" ht="11.25" customHeight="1">
      <c r="A125" s="30"/>
      <c r="B125" s="30"/>
      <c r="C125" s="28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29"/>
      <c r="P125" s="29"/>
      <c r="Q125" s="29"/>
      <c r="R125" s="29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31"/>
    </row>
    <row r="126" spans="1:40" ht="11.25" customHeight="1">
      <c r="A126" s="30"/>
      <c r="B126" s="30"/>
      <c r="C126" s="28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29"/>
      <c r="P126" s="29"/>
      <c r="Q126" s="29"/>
      <c r="R126" s="29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31"/>
    </row>
    <row r="127" spans="1:40" ht="11.25" customHeight="1">
      <c r="A127" s="30"/>
      <c r="B127" s="30"/>
      <c r="C127" s="28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29"/>
      <c r="P127" s="29"/>
      <c r="Q127" s="29"/>
      <c r="R127" s="29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31"/>
    </row>
    <row r="128" spans="1:40" ht="11.25" customHeight="1">
      <c r="A128" s="30"/>
      <c r="B128" s="30"/>
      <c r="C128" s="28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29"/>
      <c r="P128" s="29"/>
      <c r="Q128" s="29"/>
      <c r="R128" s="29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31"/>
    </row>
    <row r="129" spans="1:40" ht="11.25" customHeight="1">
      <c r="A129" s="30"/>
      <c r="B129" s="30"/>
      <c r="C129" s="28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29"/>
      <c r="P129" s="29"/>
      <c r="Q129" s="29"/>
      <c r="R129" s="29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31"/>
    </row>
    <row r="130" spans="1:40" ht="11.25" customHeight="1">
      <c r="A130" s="30"/>
      <c r="B130" s="30"/>
      <c r="C130" s="28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29"/>
      <c r="P130" s="29"/>
      <c r="Q130" s="29"/>
      <c r="R130" s="29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31"/>
    </row>
    <row r="131" spans="1:40" ht="11.25" customHeight="1">
      <c r="A131" s="30"/>
      <c r="B131" s="30"/>
      <c r="C131" s="28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29"/>
      <c r="P131" s="29"/>
      <c r="Q131" s="29"/>
      <c r="R131" s="29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31"/>
    </row>
    <row r="132" spans="1:40" ht="11.25" customHeight="1">
      <c r="A132" s="30"/>
      <c r="B132" s="30"/>
      <c r="C132" s="28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29"/>
      <c r="P132" s="29"/>
      <c r="Q132" s="29"/>
      <c r="R132" s="29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31"/>
    </row>
    <row r="133" spans="1:40" ht="11.25" customHeight="1">
      <c r="A133" s="30"/>
      <c r="B133" s="30"/>
      <c r="C133" s="28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29"/>
      <c r="P133" s="29"/>
      <c r="Q133" s="29"/>
      <c r="R133" s="29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31"/>
    </row>
    <row r="134" spans="1:40" ht="11.25" customHeight="1">
      <c r="A134" s="30"/>
      <c r="B134" s="30"/>
      <c r="C134" s="28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29"/>
      <c r="P134" s="29"/>
      <c r="Q134" s="29"/>
      <c r="R134" s="29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31"/>
    </row>
    <row r="135" spans="1:40" ht="11.25" customHeight="1">
      <c r="A135" s="30"/>
      <c r="B135" s="30"/>
      <c r="C135" s="28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29"/>
      <c r="P135" s="29"/>
      <c r="Q135" s="29"/>
      <c r="R135" s="29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31"/>
    </row>
    <row r="136" spans="1:40" ht="11.25" customHeight="1">
      <c r="A136" s="30"/>
      <c r="B136" s="30"/>
      <c r="C136" s="28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29"/>
      <c r="P136" s="29"/>
      <c r="Q136" s="29"/>
      <c r="R136" s="29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31"/>
    </row>
    <row r="137" spans="1:40" ht="11.25" customHeight="1">
      <c r="A137" s="30"/>
      <c r="B137" s="30"/>
      <c r="C137" s="28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29"/>
      <c r="P137" s="29"/>
      <c r="Q137" s="29"/>
      <c r="R137" s="29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31"/>
    </row>
    <row r="138" spans="1:40" ht="11.25" customHeight="1">
      <c r="A138" s="30"/>
      <c r="B138" s="30"/>
      <c r="C138" s="28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29"/>
      <c r="P138" s="29"/>
      <c r="Q138" s="29"/>
      <c r="R138" s="29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31"/>
    </row>
    <row r="139" spans="1:40" ht="11.25" customHeight="1">
      <c r="A139" s="30"/>
      <c r="B139" s="30"/>
      <c r="C139" s="28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29"/>
      <c r="P139" s="29"/>
      <c r="Q139" s="29"/>
      <c r="R139" s="29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31"/>
    </row>
    <row r="140" spans="1:40" ht="11.25" customHeight="1">
      <c r="A140" s="30"/>
      <c r="B140" s="30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9"/>
      <c r="P140" s="29"/>
      <c r="Q140" s="29"/>
      <c r="R140" s="29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31"/>
    </row>
    <row r="141" spans="1:40" ht="11.25" customHeight="1">
      <c r="A141" s="30"/>
      <c r="B141" s="30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9"/>
      <c r="P141" s="29"/>
      <c r="Q141" s="29"/>
      <c r="R141" s="29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31"/>
    </row>
    <row r="142" spans="1:40" ht="11.25" customHeight="1">
      <c r="A142" s="30"/>
      <c r="B142" s="30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9"/>
      <c r="P142" s="29"/>
      <c r="Q142" s="29"/>
      <c r="R142" s="29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31"/>
    </row>
    <row r="143" spans="1:40" ht="11.25" customHeight="1">
      <c r="A143" s="30"/>
      <c r="B143" s="30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9"/>
      <c r="P143" s="29"/>
      <c r="Q143" s="29"/>
      <c r="R143" s="29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31"/>
    </row>
    <row r="144" spans="1:40" ht="11.25" customHeight="1">
      <c r="A144" s="30"/>
      <c r="B144" s="30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9"/>
      <c r="P144" s="29"/>
      <c r="Q144" s="29"/>
      <c r="R144" s="29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31"/>
    </row>
    <row r="145" spans="1:40" ht="11.25" customHeight="1">
      <c r="A145" s="30"/>
      <c r="B145" s="30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9"/>
      <c r="P145" s="29"/>
      <c r="Q145" s="29"/>
      <c r="R145" s="29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31"/>
    </row>
    <row r="146" spans="1:40" ht="11.25" customHeight="1">
      <c r="A146" s="30"/>
      <c r="B146" s="30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9"/>
      <c r="P146" s="29"/>
      <c r="Q146" s="29"/>
      <c r="R146" s="29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31"/>
    </row>
    <row r="147" spans="1:40" ht="11.25" customHeight="1">
      <c r="A147" s="30"/>
      <c r="B147" s="30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9"/>
      <c r="P147" s="29"/>
      <c r="Q147" s="29"/>
      <c r="R147" s="29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31"/>
    </row>
    <row r="148" spans="1:40" ht="11.25" customHeight="1">
      <c r="A148" s="30"/>
      <c r="B148" s="30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9"/>
      <c r="P148" s="29"/>
      <c r="Q148" s="29"/>
      <c r="R148" s="29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31"/>
    </row>
    <row r="149" spans="1:40" ht="11.25" customHeight="1">
      <c r="A149" s="30"/>
      <c r="B149" s="30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9"/>
      <c r="P149" s="29"/>
      <c r="Q149" s="29"/>
      <c r="R149" s="29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31"/>
    </row>
    <row r="150" spans="1:40" ht="11.25" customHeight="1">
      <c r="A150" s="30"/>
      <c r="B150" s="30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9"/>
      <c r="P150" s="29"/>
      <c r="Q150" s="29"/>
      <c r="R150" s="29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31"/>
    </row>
    <row r="151" spans="1:40" ht="11.25" customHeight="1">
      <c r="A151" s="30"/>
      <c r="B151" s="30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9"/>
      <c r="P151" s="29"/>
      <c r="Q151" s="29"/>
      <c r="R151" s="29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31"/>
    </row>
    <row r="152" spans="1:40" ht="11.25" customHeight="1">
      <c r="A152" s="30"/>
      <c r="B152" s="30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9"/>
      <c r="P152" s="29"/>
      <c r="Q152" s="29"/>
      <c r="R152" s="29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31"/>
    </row>
    <row r="153" spans="1:40" ht="11.25" customHeight="1">
      <c r="A153" s="30"/>
      <c r="B153" s="30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9"/>
      <c r="P153" s="29"/>
      <c r="Q153" s="29"/>
      <c r="R153" s="29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31"/>
    </row>
    <row r="154" spans="1:40" ht="11.25" customHeight="1">
      <c r="A154" s="30"/>
      <c r="B154" s="30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9"/>
      <c r="P154" s="29"/>
      <c r="Q154" s="29"/>
      <c r="R154" s="29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31"/>
    </row>
    <row r="155" spans="1:40" ht="11.25" customHeight="1">
      <c r="A155" s="30"/>
      <c r="B155" s="30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9"/>
      <c r="P155" s="29"/>
      <c r="Q155" s="29"/>
      <c r="R155" s="29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31"/>
    </row>
    <row r="156" spans="1:40" ht="11.25" customHeight="1">
      <c r="A156" s="30"/>
      <c r="B156" s="30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9"/>
      <c r="P156" s="29"/>
      <c r="Q156" s="29"/>
      <c r="R156" s="29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31"/>
    </row>
    <row r="157" spans="1:40" ht="11.25" customHeight="1">
      <c r="A157" s="30"/>
      <c r="B157" s="30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9"/>
      <c r="P157" s="29"/>
      <c r="Q157" s="29"/>
      <c r="R157" s="29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31"/>
    </row>
    <row r="158" spans="1:40" ht="11.25" customHeight="1">
      <c r="A158" s="30"/>
      <c r="B158" s="30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9"/>
      <c r="P158" s="29"/>
      <c r="Q158" s="29"/>
      <c r="R158" s="29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31"/>
    </row>
    <row r="159" spans="1:40" ht="11.25" customHeight="1">
      <c r="A159" s="30"/>
      <c r="B159" s="30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9"/>
      <c r="P159" s="29"/>
      <c r="Q159" s="29"/>
      <c r="R159" s="29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31"/>
    </row>
    <row r="160" spans="1:40" ht="11.25" customHeight="1">
      <c r="A160" s="30"/>
      <c r="B160" s="30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9"/>
      <c r="P160" s="29"/>
      <c r="Q160" s="29"/>
      <c r="R160" s="29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31"/>
    </row>
    <row r="161" spans="1:40" ht="11.25" customHeight="1">
      <c r="A161" s="30"/>
      <c r="B161" s="30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9"/>
      <c r="P161" s="29"/>
      <c r="Q161" s="29"/>
      <c r="R161" s="29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31"/>
    </row>
    <row r="162" spans="1:40" ht="11.25" customHeight="1">
      <c r="A162" s="30"/>
      <c r="B162" s="30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9"/>
      <c r="P162" s="29"/>
      <c r="Q162" s="29"/>
      <c r="R162" s="29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31"/>
    </row>
    <row r="163" spans="1:40" ht="11.25" customHeight="1">
      <c r="A163" s="30"/>
      <c r="B163" s="30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9"/>
      <c r="P163" s="29"/>
      <c r="Q163" s="29"/>
      <c r="R163" s="29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31"/>
    </row>
    <row r="164" spans="1:40" ht="11.25" customHeight="1">
      <c r="A164" s="30"/>
      <c r="B164" s="30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9"/>
      <c r="P164" s="29"/>
      <c r="Q164" s="29"/>
      <c r="R164" s="29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31"/>
    </row>
    <row r="165" spans="1:40" ht="11.25" customHeight="1">
      <c r="A165" s="30"/>
      <c r="B165" s="30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9"/>
      <c r="P165" s="29"/>
      <c r="Q165" s="29"/>
      <c r="R165" s="29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31"/>
    </row>
    <row r="166" spans="1:40" ht="11.25" customHeight="1">
      <c r="A166" s="30"/>
      <c r="B166" s="30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9"/>
      <c r="P166" s="29"/>
      <c r="Q166" s="29"/>
      <c r="R166" s="29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31"/>
    </row>
    <row r="167" spans="1:40" ht="11.25" customHeight="1">
      <c r="A167" s="30"/>
      <c r="B167" s="30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9"/>
      <c r="P167" s="29"/>
      <c r="Q167" s="29"/>
      <c r="R167" s="29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31"/>
    </row>
    <row r="168" spans="1:40" ht="11.25" customHeight="1">
      <c r="A168" s="30"/>
      <c r="B168" s="30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9"/>
      <c r="P168" s="29"/>
      <c r="Q168" s="29"/>
      <c r="R168" s="29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31"/>
    </row>
    <row r="169" spans="1:40" ht="11.25" customHeight="1">
      <c r="A169" s="30"/>
      <c r="B169" s="30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9"/>
      <c r="P169" s="29"/>
      <c r="Q169" s="29"/>
      <c r="R169" s="29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31"/>
    </row>
    <row r="170" spans="1:40" ht="11.25" customHeight="1">
      <c r="A170" s="30"/>
      <c r="B170" s="30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9"/>
      <c r="P170" s="29"/>
      <c r="Q170" s="29"/>
      <c r="R170" s="29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31"/>
    </row>
    <row r="171" spans="1:40" ht="11.25" customHeight="1">
      <c r="A171" s="30"/>
      <c r="B171" s="30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9"/>
      <c r="P171" s="29"/>
      <c r="Q171" s="29"/>
      <c r="R171" s="29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31"/>
    </row>
    <row r="172" spans="1:40" ht="11.25" customHeight="1">
      <c r="A172" s="30"/>
      <c r="B172" s="30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9"/>
      <c r="P172" s="29"/>
      <c r="Q172" s="29"/>
      <c r="R172" s="29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31"/>
    </row>
    <row r="173" spans="1:40" ht="11.25" customHeight="1">
      <c r="A173" s="30"/>
      <c r="B173" s="30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9"/>
      <c r="P173" s="29"/>
      <c r="Q173" s="29"/>
      <c r="R173" s="29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31"/>
    </row>
    <row r="174" spans="1:40" ht="11.25" customHeight="1">
      <c r="A174" s="30"/>
      <c r="B174" s="30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9"/>
      <c r="P174" s="29"/>
      <c r="Q174" s="29"/>
      <c r="R174" s="29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31"/>
    </row>
    <row r="175" spans="1:40" ht="11.25" customHeight="1">
      <c r="A175" s="30"/>
      <c r="B175" s="30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9"/>
      <c r="P175" s="29"/>
      <c r="Q175" s="29"/>
      <c r="R175" s="29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31"/>
    </row>
    <row r="176" spans="1:40" ht="11.25" customHeight="1">
      <c r="A176" s="30"/>
      <c r="B176" s="30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9"/>
      <c r="P176" s="29"/>
      <c r="Q176" s="29"/>
      <c r="R176" s="29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31"/>
    </row>
    <row r="177" spans="1:40" ht="11.25" customHeight="1">
      <c r="A177" s="30"/>
      <c r="B177" s="30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9"/>
      <c r="P177" s="29"/>
      <c r="Q177" s="29"/>
      <c r="R177" s="29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31"/>
    </row>
    <row r="178" spans="1:40" ht="11.25" customHeight="1">
      <c r="A178" s="30"/>
      <c r="B178" s="30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9"/>
      <c r="P178" s="29"/>
      <c r="Q178" s="29"/>
      <c r="R178" s="29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31"/>
    </row>
    <row r="179" spans="1:40" ht="11.25" customHeight="1">
      <c r="A179" s="30"/>
      <c r="B179" s="30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9"/>
      <c r="P179" s="29"/>
      <c r="Q179" s="29"/>
      <c r="R179" s="29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31"/>
    </row>
    <row r="180" spans="1:40" ht="11.25" customHeight="1">
      <c r="A180" s="30"/>
      <c r="B180" s="30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9"/>
      <c r="P180" s="29"/>
      <c r="Q180" s="29"/>
      <c r="R180" s="29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31"/>
    </row>
    <row r="181" spans="1:40" ht="11.25" customHeight="1">
      <c r="A181" s="30"/>
      <c r="B181" s="30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9"/>
      <c r="P181" s="29"/>
      <c r="Q181" s="29"/>
      <c r="R181" s="29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31"/>
    </row>
    <row r="182" spans="1:40" ht="11.25" customHeight="1">
      <c r="A182" s="30"/>
      <c r="B182" s="30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9"/>
      <c r="P182" s="29"/>
      <c r="Q182" s="29"/>
      <c r="R182" s="29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31"/>
    </row>
    <row r="183" spans="1:40" ht="11.25" customHeight="1">
      <c r="A183" s="30"/>
      <c r="B183" s="30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9"/>
      <c r="P183" s="29"/>
      <c r="Q183" s="29"/>
      <c r="R183" s="29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31"/>
    </row>
    <row r="184" spans="1:40" ht="11.25" customHeight="1">
      <c r="A184" s="30"/>
      <c r="B184" s="30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9"/>
      <c r="P184" s="29"/>
      <c r="Q184" s="29"/>
      <c r="R184" s="29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31"/>
    </row>
    <row r="185" spans="1:40" ht="11.25" customHeight="1">
      <c r="A185" s="30"/>
      <c r="B185" s="30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9"/>
      <c r="P185" s="29"/>
      <c r="Q185" s="29"/>
      <c r="R185" s="29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31"/>
    </row>
    <row r="186" spans="1:40" ht="11.25" customHeight="1">
      <c r="A186" s="30"/>
      <c r="B186" s="30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9"/>
      <c r="P186" s="29"/>
      <c r="Q186" s="29"/>
      <c r="R186" s="29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31"/>
    </row>
    <row r="187" spans="1:40" ht="11.25" customHeight="1">
      <c r="A187" s="30"/>
      <c r="B187" s="30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9"/>
      <c r="P187" s="29"/>
      <c r="Q187" s="29"/>
      <c r="R187" s="29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31"/>
    </row>
    <row r="188" spans="1:40" ht="11.25" customHeight="1">
      <c r="A188" s="30"/>
      <c r="B188" s="30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9"/>
      <c r="P188" s="29"/>
      <c r="Q188" s="29"/>
      <c r="R188" s="29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31"/>
    </row>
    <row r="189" spans="1:40" ht="11.25" customHeight="1">
      <c r="A189" s="30"/>
      <c r="B189" s="30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9"/>
      <c r="P189" s="29"/>
      <c r="Q189" s="29"/>
      <c r="R189" s="29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31"/>
    </row>
    <row r="190" spans="1:40" ht="11.25" customHeight="1">
      <c r="A190" s="30"/>
      <c r="B190" s="30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9"/>
      <c r="P190" s="29"/>
      <c r="Q190" s="29"/>
      <c r="R190" s="29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31"/>
    </row>
    <row r="191" spans="1:40" ht="11.25" customHeight="1">
      <c r="A191" s="30"/>
      <c r="B191" s="30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9"/>
      <c r="P191" s="29"/>
      <c r="Q191" s="29"/>
      <c r="R191" s="29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31"/>
    </row>
    <row r="192" spans="1:40" ht="11.25" customHeight="1">
      <c r="A192" s="30"/>
      <c r="B192" s="30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9"/>
      <c r="P192" s="29"/>
      <c r="Q192" s="29"/>
      <c r="R192" s="29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31"/>
    </row>
    <row r="193" spans="1:40" ht="11.25" customHeight="1">
      <c r="A193" s="30"/>
      <c r="B193" s="30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9"/>
      <c r="P193" s="29"/>
      <c r="Q193" s="29"/>
      <c r="R193" s="29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31"/>
    </row>
    <row r="194" spans="1:40" ht="11.25" customHeight="1">
      <c r="A194" s="30"/>
      <c r="B194" s="30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9"/>
      <c r="P194" s="29"/>
      <c r="Q194" s="29"/>
      <c r="R194" s="29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31"/>
    </row>
    <row r="195" spans="1:40" ht="11.25" customHeight="1">
      <c r="A195" s="30"/>
      <c r="B195" s="30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9"/>
      <c r="P195" s="29"/>
      <c r="Q195" s="29"/>
      <c r="R195" s="29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31"/>
    </row>
    <row r="196" spans="1:40" ht="11.25" customHeight="1">
      <c r="A196" s="30"/>
      <c r="B196" s="30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9"/>
      <c r="P196" s="29"/>
      <c r="Q196" s="29"/>
      <c r="R196" s="29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31"/>
    </row>
    <row r="197" spans="1:40" ht="11.25" customHeight="1">
      <c r="A197" s="30"/>
      <c r="B197" s="30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9"/>
      <c r="P197" s="29"/>
      <c r="Q197" s="29"/>
      <c r="R197" s="29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31"/>
    </row>
    <row r="198" spans="1:40" ht="11.25" customHeight="1">
      <c r="A198" s="30"/>
      <c r="B198" s="30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9"/>
      <c r="P198" s="29"/>
      <c r="Q198" s="29"/>
      <c r="R198" s="29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31"/>
    </row>
    <row r="199" spans="1:40" ht="11.25" customHeight="1">
      <c r="A199" s="30"/>
      <c r="B199" s="30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9"/>
      <c r="P199" s="29"/>
      <c r="Q199" s="29"/>
      <c r="R199" s="29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31"/>
    </row>
    <row r="200" spans="1:40" ht="11.25" customHeight="1">
      <c r="A200" s="30"/>
      <c r="B200" s="30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9"/>
      <c r="P200" s="29"/>
      <c r="Q200" s="29"/>
      <c r="R200" s="29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31"/>
    </row>
    <row r="201" spans="1:40" ht="11.25" customHeight="1">
      <c r="A201" s="30"/>
      <c r="B201" s="30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9"/>
      <c r="P201" s="29"/>
      <c r="Q201" s="29"/>
      <c r="R201" s="29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31"/>
    </row>
    <row r="202" spans="1:40" ht="11.25" customHeight="1">
      <c r="A202" s="30"/>
      <c r="B202" s="30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9"/>
      <c r="P202" s="29"/>
      <c r="Q202" s="29"/>
      <c r="R202" s="29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31"/>
    </row>
    <row r="203" spans="1:40" ht="11.25" customHeight="1">
      <c r="A203" s="30"/>
      <c r="B203" s="30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9"/>
      <c r="P203" s="29"/>
      <c r="Q203" s="29"/>
      <c r="R203" s="29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31"/>
    </row>
    <row r="204" spans="1:40" ht="11.25" customHeight="1">
      <c r="A204" s="30"/>
      <c r="B204" s="30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9"/>
      <c r="P204" s="29"/>
      <c r="Q204" s="29"/>
      <c r="R204" s="29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31"/>
    </row>
    <row r="205" spans="1:40" ht="11.25" customHeight="1">
      <c r="A205" s="30"/>
      <c r="B205" s="30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9"/>
      <c r="P205" s="29"/>
      <c r="Q205" s="29"/>
      <c r="R205" s="29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31"/>
    </row>
    <row r="206" spans="1:40" ht="11.25" customHeight="1">
      <c r="A206" s="30"/>
      <c r="B206" s="30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9"/>
      <c r="P206" s="29"/>
      <c r="Q206" s="29"/>
      <c r="R206" s="29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31"/>
    </row>
    <row r="207" spans="1:40" ht="11.25" customHeight="1">
      <c r="A207" s="30"/>
      <c r="B207" s="30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9"/>
      <c r="P207" s="29"/>
      <c r="Q207" s="29"/>
      <c r="R207" s="29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31"/>
    </row>
    <row r="208" spans="1:40" ht="11.25" customHeight="1">
      <c r="A208" s="30"/>
      <c r="B208" s="30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9"/>
      <c r="P208" s="29"/>
      <c r="Q208" s="29"/>
      <c r="R208" s="29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31"/>
    </row>
    <row r="209" spans="1:40" ht="11.25" customHeight="1">
      <c r="A209" s="30"/>
      <c r="B209" s="30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9"/>
      <c r="P209" s="29"/>
      <c r="Q209" s="29"/>
      <c r="R209" s="29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31"/>
    </row>
    <row r="210" spans="1:40" ht="11.25" customHeight="1">
      <c r="A210" s="30"/>
      <c r="B210" s="30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9"/>
      <c r="P210" s="29"/>
      <c r="Q210" s="29"/>
      <c r="R210" s="29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31"/>
    </row>
    <row r="211" spans="1:40" ht="11.25" customHeight="1">
      <c r="A211" s="30"/>
      <c r="B211" s="30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9"/>
      <c r="P211" s="29"/>
      <c r="Q211" s="29"/>
      <c r="R211" s="29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31"/>
    </row>
    <row r="212" spans="1:40" ht="11.25" customHeight="1">
      <c r="A212" s="30"/>
      <c r="B212" s="30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9"/>
      <c r="P212" s="29"/>
      <c r="Q212" s="29"/>
      <c r="R212" s="29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31"/>
    </row>
    <row r="213" spans="1:40" ht="11.25" customHeight="1">
      <c r="A213" s="30"/>
      <c r="B213" s="30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9"/>
      <c r="P213" s="29"/>
      <c r="Q213" s="29"/>
      <c r="R213" s="29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31"/>
    </row>
    <row r="214" spans="1:40" ht="11.25" customHeight="1">
      <c r="A214" s="30"/>
      <c r="B214" s="30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9"/>
      <c r="P214" s="29"/>
      <c r="Q214" s="29"/>
      <c r="R214" s="29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31"/>
    </row>
    <row r="215" spans="1:40" ht="11.25" customHeight="1">
      <c r="A215" s="30"/>
      <c r="B215" s="30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9"/>
      <c r="P215" s="29"/>
      <c r="Q215" s="29"/>
      <c r="R215" s="29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31"/>
    </row>
    <row r="216" spans="1:40" ht="11.25" customHeight="1">
      <c r="A216" s="30"/>
      <c r="B216" s="30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9"/>
      <c r="P216" s="29"/>
      <c r="Q216" s="29"/>
      <c r="R216" s="29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31"/>
    </row>
    <row r="217" spans="1:40" ht="11.25" customHeight="1">
      <c r="A217" s="30"/>
      <c r="B217" s="30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9"/>
      <c r="P217" s="29"/>
      <c r="Q217" s="29"/>
      <c r="R217" s="29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31"/>
    </row>
    <row r="218" spans="1:40" ht="11.25" customHeight="1">
      <c r="A218" s="30"/>
      <c r="B218" s="30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9"/>
      <c r="P218" s="29"/>
      <c r="Q218" s="29"/>
      <c r="R218" s="29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31"/>
    </row>
    <row r="219" spans="1:40" ht="11.25" customHeight="1">
      <c r="A219" s="30"/>
      <c r="B219" s="30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9"/>
      <c r="P219" s="29"/>
      <c r="Q219" s="29"/>
      <c r="R219" s="29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31"/>
    </row>
    <row r="220" spans="1:40" ht="11.25" customHeight="1">
      <c r="A220" s="30"/>
      <c r="B220" s="30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9"/>
      <c r="P220" s="29"/>
      <c r="Q220" s="29"/>
      <c r="R220" s="29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31"/>
    </row>
    <row r="221" spans="1:40" ht="11.25" customHeight="1">
      <c r="A221" s="30"/>
      <c r="B221" s="30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9"/>
      <c r="P221" s="29"/>
      <c r="Q221" s="29"/>
      <c r="R221" s="29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31"/>
    </row>
    <row r="222" spans="1:40" ht="11.25" customHeight="1">
      <c r="A222" s="30"/>
      <c r="B222" s="30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9"/>
      <c r="P222" s="29"/>
      <c r="Q222" s="29"/>
      <c r="R222" s="29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31"/>
    </row>
    <row r="223" spans="1:40" ht="11.25" customHeight="1">
      <c r="A223" s="30"/>
      <c r="B223" s="30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9"/>
      <c r="P223" s="29"/>
      <c r="Q223" s="29"/>
      <c r="R223" s="29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31"/>
    </row>
    <row r="224" spans="1:40" ht="11.25" customHeight="1">
      <c r="A224" s="30"/>
      <c r="B224" s="30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9"/>
      <c r="P224" s="29"/>
      <c r="Q224" s="29"/>
      <c r="R224" s="29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31"/>
    </row>
    <row r="225" spans="1:40" ht="11.25" customHeight="1">
      <c r="A225" s="30"/>
      <c r="B225" s="30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9"/>
      <c r="P225" s="29"/>
      <c r="Q225" s="29"/>
      <c r="R225" s="29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31"/>
    </row>
    <row r="226" spans="1:40" ht="11.25" customHeight="1">
      <c r="A226" s="30"/>
      <c r="B226" s="30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9"/>
      <c r="P226" s="29"/>
      <c r="Q226" s="29"/>
      <c r="R226" s="29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31"/>
    </row>
    <row r="227" spans="1:40" ht="11.25" customHeight="1">
      <c r="A227" s="30"/>
      <c r="B227" s="30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9"/>
      <c r="P227" s="29"/>
      <c r="Q227" s="29"/>
      <c r="R227" s="29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31"/>
    </row>
    <row r="228" spans="1:40" ht="11.25" customHeight="1">
      <c r="A228" s="30"/>
      <c r="B228" s="30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9"/>
      <c r="P228" s="29"/>
      <c r="Q228" s="29"/>
      <c r="R228" s="29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31"/>
    </row>
    <row r="229" spans="1:40" ht="11.25" customHeight="1">
      <c r="A229" s="30"/>
      <c r="B229" s="30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9"/>
      <c r="P229" s="29"/>
      <c r="Q229" s="29"/>
      <c r="R229" s="29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31"/>
    </row>
    <row r="230" spans="1:40" ht="11.25" customHeight="1">
      <c r="A230" s="30"/>
      <c r="B230" s="30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9"/>
      <c r="P230" s="29"/>
      <c r="Q230" s="29"/>
      <c r="R230" s="29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31"/>
    </row>
    <row r="231" spans="1:40" ht="11.25" customHeight="1">
      <c r="A231" s="30"/>
      <c r="B231" s="30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9"/>
      <c r="P231" s="29"/>
      <c r="Q231" s="29"/>
      <c r="R231" s="29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31"/>
    </row>
    <row r="232" spans="1:40" ht="11.25" customHeight="1">
      <c r="A232" s="30"/>
      <c r="B232" s="30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9"/>
      <c r="P232" s="29"/>
      <c r="Q232" s="29"/>
      <c r="R232" s="29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31"/>
    </row>
    <row r="233" spans="1:40" ht="11.25" customHeight="1">
      <c r="A233" s="30"/>
      <c r="B233" s="30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9"/>
      <c r="P233" s="29"/>
      <c r="Q233" s="29"/>
      <c r="R233" s="29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31"/>
    </row>
    <row r="234" spans="1:40" ht="11.25" customHeight="1">
      <c r="A234" s="30"/>
      <c r="B234" s="30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9"/>
      <c r="P234" s="29"/>
      <c r="Q234" s="29"/>
      <c r="R234" s="29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31"/>
    </row>
    <row r="235" spans="1:40" ht="11.25" customHeight="1">
      <c r="A235" s="30"/>
      <c r="B235" s="30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9"/>
      <c r="P235" s="29"/>
      <c r="Q235" s="29"/>
      <c r="R235" s="29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31"/>
    </row>
    <row r="236" spans="1:40" ht="11.25" customHeight="1">
      <c r="A236" s="30"/>
      <c r="B236" s="30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9"/>
      <c r="P236" s="29"/>
      <c r="Q236" s="29"/>
      <c r="R236" s="29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31"/>
    </row>
    <row r="237" spans="1:40" ht="11.25" customHeight="1">
      <c r="A237" s="30"/>
      <c r="B237" s="30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9"/>
      <c r="P237" s="29"/>
      <c r="Q237" s="29"/>
      <c r="R237" s="29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31"/>
    </row>
    <row r="238" spans="1:40" ht="11.25" customHeight="1">
      <c r="A238" s="30"/>
      <c r="B238" s="30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9"/>
      <c r="P238" s="29"/>
      <c r="Q238" s="29"/>
      <c r="R238" s="29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31"/>
    </row>
    <row r="239" spans="1:40" ht="11.25" customHeight="1">
      <c r="A239" s="30"/>
      <c r="B239" s="30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9"/>
      <c r="P239" s="29"/>
      <c r="Q239" s="29"/>
      <c r="R239" s="29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31"/>
    </row>
    <row r="240" spans="1:40" ht="11.25" customHeight="1">
      <c r="A240" s="30"/>
      <c r="B240" s="30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9"/>
      <c r="P240" s="29"/>
      <c r="Q240" s="29"/>
      <c r="R240" s="29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31"/>
    </row>
    <row r="241" spans="1:40" ht="11.25" customHeight="1">
      <c r="A241" s="30"/>
      <c r="B241" s="30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9"/>
      <c r="P241" s="29"/>
      <c r="Q241" s="29"/>
      <c r="R241" s="29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31"/>
    </row>
    <row r="242" spans="1:40" ht="11.25" customHeight="1">
      <c r="A242" s="30"/>
      <c r="B242" s="30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9"/>
      <c r="P242" s="29"/>
      <c r="Q242" s="29"/>
      <c r="R242" s="29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31"/>
    </row>
    <row r="243" spans="1:40" ht="11.25" customHeight="1">
      <c r="A243" s="30"/>
      <c r="B243" s="30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9"/>
      <c r="P243" s="29"/>
      <c r="Q243" s="29"/>
      <c r="R243" s="29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31"/>
    </row>
    <row r="244" spans="1:40" ht="11.25" customHeight="1">
      <c r="A244" s="30"/>
      <c r="B244" s="30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9"/>
      <c r="P244" s="29"/>
      <c r="Q244" s="29"/>
      <c r="R244" s="29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31"/>
    </row>
    <row r="245" spans="1:40" ht="11.25" customHeight="1">
      <c r="A245" s="30"/>
      <c r="B245" s="30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9"/>
      <c r="P245" s="29"/>
      <c r="Q245" s="29"/>
      <c r="R245" s="29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31"/>
    </row>
    <row r="246" spans="1:40" ht="11.25" customHeight="1">
      <c r="A246" s="30"/>
      <c r="B246" s="30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9"/>
      <c r="P246" s="29"/>
      <c r="Q246" s="29"/>
      <c r="R246" s="29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31"/>
    </row>
    <row r="247" spans="1:40" ht="11.25" customHeight="1">
      <c r="A247" s="30"/>
      <c r="B247" s="30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9"/>
      <c r="P247" s="29"/>
      <c r="Q247" s="29"/>
      <c r="R247" s="29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31"/>
    </row>
    <row r="248" spans="1:40" ht="11.25" customHeight="1">
      <c r="A248" s="30"/>
      <c r="B248" s="30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9"/>
      <c r="P248" s="29"/>
      <c r="Q248" s="29"/>
      <c r="R248" s="29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31"/>
    </row>
    <row r="249" spans="1:40" ht="11.25" customHeight="1">
      <c r="A249" s="30"/>
      <c r="B249" s="30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9"/>
      <c r="P249" s="29"/>
      <c r="Q249" s="29"/>
      <c r="R249" s="29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31"/>
    </row>
    <row r="250" spans="1:40" ht="11.25" customHeight="1">
      <c r="A250" s="30"/>
      <c r="B250" s="30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9"/>
      <c r="P250" s="29"/>
      <c r="Q250" s="29"/>
      <c r="R250" s="29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31"/>
    </row>
    <row r="251" spans="1:40" ht="11.25" customHeight="1">
      <c r="A251" s="30"/>
      <c r="B251" s="30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9"/>
      <c r="P251" s="29"/>
      <c r="Q251" s="29"/>
      <c r="R251" s="29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31"/>
    </row>
    <row r="252" spans="1:40" ht="11.25" customHeight="1">
      <c r="A252" s="30"/>
      <c r="B252" s="30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9"/>
      <c r="P252" s="29"/>
      <c r="Q252" s="29"/>
      <c r="R252" s="29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31"/>
    </row>
    <row r="253" spans="1:40" ht="11.25" customHeight="1">
      <c r="A253" s="30"/>
      <c r="B253" s="30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9"/>
      <c r="P253" s="29"/>
      <c r="Q253" s="29"/>
      <c r="R253" s="29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31"/>
    </row>
    <row r="254" spans="1:40" ht="11.25" customHeight="1">
      <c r="A254" s="30"/>
      <c r="B254" s="30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9"/>
      <c r="P254" s="29"/>
      <c r="Q254" s="29"/>
      <c r="R254" s="29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31"/>
    </row>
    <row r="255" spans="1:40" ht="11.25" customHeight="1">
      <c r="A255" s="30"/>
      <c r="B255" s="30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9"/>
      <c r="P255" s="29"/>
      <c r="Q255" s="29"/>
      <c r="R255" s="29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31"/>
    </row>
    <row r="256" spans="1:40" ht="11.25" customHeight="1">
      <c r="A256" s="30"/>
      <c r="B256" s="30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9"/>
      <c r="P256" s="29"/>
      <c r="Q256" s="29"/>
      <c r="R256" s="29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31"/>
    </row>
    <row r="257" spans="1:40" ht="11.25" customHeight="1">
      <c r="A257" s="30"/>
      <c r="B257" s="30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9"/>
      <c r="P257" s="29"/>
      <c r="Q257" s="29"/>
      <c r="R257" s="29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31"/>
    </row>
    <row r="258" spans="1:40" ht="11.25" customHeight="1">
      <c r="A258" s="30"/>
      <c r="B258" s="30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9"/>
      <c r="P258" s="29"/>
      <c r="Q258" s="29"/>
      <c r="R258" s="29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31"/>
    </row>
    <row r="259" spans="1:40" ht="11.25" customHeight="1">
      <c r="A259" s="30"/>
      <c r="B259" s="30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9"/>
      <c r="P259" s="29"/>
      <c r="Q259" s="29"/>
      <c r="R259" s="29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31"/>
    </row>
    <row r="260" spans="1:40" ht="11.25" customHeight="1">
      <c r="A260" s="30"/>
      <c r="B260" s="30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9"/>
      <c r="P260" s="29"/>
      <c r="Q260" s="29"/>
      <c r="R260" s="29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31"/>
    </row>
    <row r="261" spans="1:40" ht="11.25" customHeight="1">
      <c r="A261" s="30"/>
      <c r="B261" s="30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9"/>
      <c r="P261" s="29"/>
      <c r="Q261" s="29"/>
      <c r="R261" s="29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31"/>
    </row>
    <row r="262" spans="1:40" ht="11.25" customHeight="1">
      <c r="A262" s="30"/>
      <c r="B262" s="30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9"/>
      <c r="P262" s="29"/>
      <c r="Q262" s="29"/>
      <c r="R262" s="29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31"/>
    </row>
    <row r="263" spans="1:40" ht="11.25" customHeight="1">
      <c r="A263" s="30"/>
      <c r="B263" s="30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9"/>
      <c r="P263" s="29"/>
      <c r="Q263" s="29"/>
      <c r="R263" s="29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31"/>
    </row>
    <row r="264" spans="1:40" ht="11.25" customHeight="1">
      <c r="A264" s="30"/>
      <c r="B264" s="30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9"/>
      <c r="P264" s="29"/>
      <c r="Q264" s="29"/>
      <c r="R264" s="29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31"/>
    </row>
    <row r="265" spans="1:40" ht="11.25" customHeight="1">
      <c r="A265" s="30"/>
      <c r="B265" s="30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9"/>
      <c r="P265" s="29"/>
      <c r="Q265" s="29"/>
      <c r="R265" s="29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31"/>
    </row>
    <row r="266" spans="1:40" ht="11.25" customHeight="1">
      <c r="A266" s="30"/>
      <c r="B266" s="30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9"/>
      <c r="P266" s="29"/>
      <c r="Q266" s="29"/>
      <c r="R266" s="29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31"/>
    </row>
    <row r="267" spans="1:40" ht="11.25" customHeight="1">
      <c r="A267" s="30"/>
      <c r="B267" s="30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9"/>
      <c r="P267" s="29"/>
      <c r="Q267" s="29"/>
      <c r="R267" s="29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31"/>
    </row>
    <row r="268" spans="1:40" ht="11.25" customHeight="1">
      <c r="A268" s="30"/>
      <c r="B268" s="30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9"/>
      <c r="P268" s="29"/>
      <c r="Q268" s="29"/>
      <c r="R268" s="29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31"/>
    </row>
    <row r="269" spans="1:40" ht="11.25" customHeight="1">
      <c r="A269" s="30"/>
      <c r="B269" s="30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9"/>
      <c r="P269" s="29"/>
      <c r="Q269" s="29"/>
      <c r="R269" s="29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31"/>
    </row>
    <row r="270" spans="1:40" ht="11.25" customHeight="1">
      <c r="A270" s="30"/>
      <c r="B270" s="30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9"/>
      <c r="P270" s="29"/>
      <c r="Q270" s="29"/>
      <c r="R270" s="29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31"/>
    </row>
    <row r="271" spans="1:40" ht="11.25" customHeight="1">
      <c r="A271" s="30"/>
      <c r="B271" s="30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9"/>
      <c r="P271" s="29"/>
      <c r="Q271" s="29"/>
      <c r="R271" s="29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31"/>
    </row>
    <row r="272" spans="1:40" ht="11.25" customHeight="1">
      <c r="A272" s="30"/>
      <c r="B272" s="30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9"/>
      <c r="P272" s="29"/>
      <c r="Q272" s="29"/>
      <c r="R272" s="29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31"/>
    </row>
    <row r="273" spans="1:40" ht="11.25" customHeight="1">
      <c r="A273" s="30"/>
      <c r="B273" s="30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9"/>
      <c r="P273" s="29"/>
      <c r="Q273" s="29"/>
      <c r="R273" s="29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31"/>
    </row>
    <row r="274" spans="1:40" ht="11.25" customHeight="1">
      <c r="A274" s="30"/>
      <c r="B274" s="30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9"/>
      <c r="P274" s="29"/>
      <c r="Q274" s="29"/>
      <c r="R274" s="29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31"/>
    </row>
    <row r="275" spans="1:40" ht="11.25" customHeight="1">
      <c r="A275" s="30"/>
      <c r="B275" s="30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9"/>
      <c r="P275" s="29"/>
      <c r="Q275" s="29"/>
      <c r="R275" s="29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31"/>
    </row>
    <row r="276" spans="1:40" ht="11.25" customHeight="1">
      <c r="A276" s="30"/>
      <c r="B276" s="30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9"/>
      <c r="P276" s="29"/>
      <c r="Q276" s="29"/>
      <c r="R276" s="29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31"/>
    </row>
    <row r="277" spans="1:40" ht="11.25" customHeight="1">
      <c r="A277" s="30"/>
      <c r="B277" s="30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9"/>
      <c r="P277" s="29"/>
      <c r="Q277" s="29"/>
      <c r="R277" s="29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31"/>
    </row>
    <row r="278" spans="1:40" ht="11.25" customHeight="1">
      <c r="A278" s="30"/>
      <c r="B278" s="30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9"/>
      <c r="P278" s="29"/>
      <c r="Q278" s="29"/>
      <c r="R278" s="29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31"/>
    </row>
    <row r="279" spans="1:40" ht="11.25" customHeight="1">
      <c r="A279" s="30"/>
      <c r="B279" s="30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9"/>
      <c r="P279" s="29"/>
      <c r="Q279" s="29"/>
      <c r="R279" s="29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31"/>
    </row>
    <row r="280" spans="1:40" ht="11.25" customHeight="1">
      <c r="A280" s="30"/>
      <c r="B280" s="30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9"/>
      <c r="P280" s="29"/>
      <c r="Q280" s="29"/>
      <c r="R280" s="29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31"/>
    </row>
    <row r="281" spans="1:40" ht="11.25" customHeight="1">
      <c r="A281" s="30"/>
      <c r="B281" s="30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9"/>
      <c r="P281" s="29"/>
      <c r="Q281" s="29"/>
      <c r="R281" s="29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31"/>
    </row>
    <row r="282" spans="1:40" ht="11.25" customHeight="1">
      <c r="A282" s="30"/>
      <c r="B282" s="30"/>
      <c r="C282" s="548" t="str">
        <f>Ср.мес.Т!B1</f>
        <v>Таблица 3 - Средняя месячная и средне годовая температура воздуха, °С</v>
      </c>
      <c r="D282" s="548"/>
      <c r="E282" s="548"/>
      <c r="F282" s="548"/>
      <c r="G282" s="36" t="str">
        <f>Ср.мес.Т!F3</f>
        <v xml:space="preserve">I </v>
      </c>
      <c r="H282" s="35">
        <f>VLOOKUP(C10,Ср.мес.Т!A6:BP1315,A10)</f>
        <v>-6.6</v>
      </c>
      <c r="I282" s="36" t="str">
        <f>Ср.мес.Т!I3</f>
        <v>IV</v>
      </c>
      <c r="J282" s="35">
        <f>VLOOKUP(C14,Ср.мес.Т!A9:BP1318,A14)</f>
        <v>8.8000000000000007</v>
      </c>
      <c r="K282" s="36" t="str">
        <f>Ср.мес.Т!L3</f>
        <v>VII</v>
      </c>
      <c r="L282" s="35">
        <f>VLOOKUP(C17,Ср.мес.Т!A12:BP1321,A17)</f>
        <v>20.100000000000001</v>
      </c>
      <c r="M282" s="36" t="str">
        <f>Ср.мес.Т!O3</f>
        <v>X</v>
      </c>
      <c r="N282" s="35">
        <f>VLOOKUP(C20,Ср.мес.Т!A15:BP1324,A20)</f>
        <v>7.6</v>
      </c>
      <c r="O282" s="32"/>
      <c r="P282" s="32"/>
      <c r="Q282" s="32"/>
      <c r="R282" s="32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31"/>
    </row>
    <row r="283" spans="1:40" ht="11.25" customHeight="1">
      <c r="A283" s="30"/>
      <c r="B283" s="30"/>
      <c r="C283" s="548"/>
      <c r="D283" s="548"/>
      <c r="E283" s="548"/>
      <c r="F283" s="548"/>
      <c r="G283" s="36" t="str">
        <f>Ср.мес.Т!G3</f>
        <v>II</v>
      </c>
      <c r="H283" s="35">
        <f>VLOOKUP(C11,Ср.мес.Т!A7:BP1316,A11)</f>
        <v>-5.3</v>
      </c>
      <c r="I283" s="36" t="str">
        <f>Ср.мес.Т!J3</f>
        <v>V</v>
      </c>
      <c r="J283" s="35">
        <f>VLOOKUP(C15,Ср.мес.Т!A10:BP1319,A15)</f>
        <v>15.4</v>
      </c>
      <c r="K283" s="36" t="str">
        <f>Ср.мес.Т!M3</f>
        <v>VIII</v>
      </c>
      <c r="L283" s="35">
        <f>VLOOKUP(C18,Ср.мес.Т!A13:BP1322,A18)</f>
        <v>19.399999999999999</v>
      </c>
      <c r="M283" s="36" t="str">
        <f>Ср.мес.Т!P3</f>
        <v>XI</v>
      </c>
      <c r="N283" s="35">
        <f>VLOOKUP(C21,Ср.мес.Т!A16:BP1325,A21)</f>
        <v>1.5</v>
      </c>
      <c r="O283" s="32"/>
      <c r="P283" s="32"/>
      <c r="Q283" s="32"/>
      <c r="R283" s="32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31"/>
    </row>
    <row r="284" spans="1:40" ht="11.25" customHeight="1">
      <c r="A284" s="30"/>
      <c r="B284" s="30"/>
      <c r="C284" s="548"/>
      <c r="D284" s="548"/>
      <c r="E284" s="548"/>
      <c r="F284" s="548"/>
      <c r="G284" s="36" t="str">
        <f>Ср.мес.Т!H3</f>
        <v>III</v>
      </c>
      <c r="H284" s="35">
        <f>VLOOKUP(C12,Ср.мес.Т!A8:BP1317,A12)</f>
        <v>-0.1</v>
      </c>
      <c r="I284" s="36" t="str">
        <f>Ср.мес.Т!K3</f>
        <v>VI</v>
      </c>
      <c r="J284" s="35">
        <f>VLOOKUP(C16,Ср.мес.Т!A11:BP1320,A16)</f>
        <v>18.7</v>
      </c>
      <c r="K284" s="36" t="str">
        <f>Ср.мес.Т!N3</f>
        <v>IX</v>
      </c>
      <c r="L284" s="35">
        <f>VLOOKUP(C19,Ср.мес.Т!A14:BP1323,A19)</f>
        <v>14.3</v>
      </c>
      <c r="M284" s="36" t="str">
        <f>Ср.мес.Т!Q3</f>
        <v>XII</v>
      </c>
      <c r="N284" s="35">
        <f>VLOOKUP(C22,Ср.мес.Т!A17:BP1326,A22)</f>
        <v>-3.1</v>
      </c>
      <c r="O284" s="32"/>
      <c r="P284" s="32"/>
      <c r="Q284" s="32"/>
      <c r="R284" s="32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31"/>
    </row>
    <row r="285" spans="1:40" ht="11.25" customHeight="1">
      <c r="A285" s="30"/>
      <c r="B285" s="30"/>
      <c r="C285" s="548"/>
      <c r="D285" s="548"/>
      <c r="E285" s="548"/>
      <c r="F285" s="548"/>
      <c r="G285" s="547" t="str">
        <f>Ср.мес.Т!R3</f>
        <v>Год</v>
      </c>
      <c r="H285" s="547"/>
      <c r="I285" s="547"/>
      <c r="J285" s="547"/>
      <c r="K285" s="547"/>
      <c r="L285" s="547"/>
      <c r="M285" s="547"/>
      <c r="N285" s="35">
        <f>VLOOKUP(C23,Ср.мес.Т!A18:BP1327,A23)</f>
        <v>7.6</v>
      </c>
      <c r="O285" s="32"/>
      <c r="P285" s="32"/>
      <c r="Q285" s="32"/>
      <c r="R285" s="32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31"/>
    </row>
    <row r="286" spans="1:40" ht="11.25" customHeight="1">
      <c r="A286" s="30"/>
      <c r="B286" s="30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3"/>
      <c r="N286" s="35"/>
      <c r="O286" s="32"/>
      <c r="P286" s="32"/>
      <c r="Q286" s="32"/>
      <c r="R286" s="32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31"/>
    </row>
    <row r="287" spans="1:40" ht="11.25" customHeight="1">
      <c r="A287" s="30"/>
      <c r="B287" s="30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3"/>
      <c r="N287" s="35"/>
      <c r="O287" s="32"/>
      <c r="P287" s="32"/>
      <c r="Q287" s="32"/>
      <c r="R287" s="32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31"/>
    </row>
    <row r="288" spans="1:40" ht="11.25" customHeight="1">
      <c r="A288" s="30"/>
      <c r="B288" s="30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3"/>
      <c r="N288" s="35"/>
      <c r="O288" s="32"/>
      <c r="P288" s="32"/>
      <c r="Q288" s="32"/>
      <c r="R288" s="32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31"/>
    </row>
    <row r="289" spans="1:40" ht="11.25" customHeight="1">
      <c r="A289" s="30"/>
      <c r="B289" s="30"/>
      <c r="C289" s="34"/>
      <c r="D289" s="34"/>
      <c r="E289" s="34"/>
      <c r="F289" s="34"/>
      <c r="G289" s="34"/>
      <c r="H289" s="34"/>
      <c r="I289" s="34"/>
      <c r="J289" s="34"/>
      <c r="K289" s="33"/>
      <c r="L289" s="33"/>
      <c r="M289" s="33"/>
      <c r="N289" s="35"/>
      <c r="O289" s="32"/>
      <c r="P289" s="32"/>
      <c r="Q289" s="32"/>
      <c r="R289" s="32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31"/>
    </row>
    <row r="290" spans="1:40" ht="11.25" customHeight="1">
      <c r="A290" s="30"/>
      <c r="B290" s="30"/>
      <c r="C290" s="34"/>
      <c r="D290" s="34"/>
      <c r="E290" s="34"/>
      <c r="F290" s="34"/>
      <c r="G290" s="34"/>
      <c r="H290" s="34"/>
      <c r="I290" s="34"/>
      <c r="J290" s="34"/>
      <c r="K290" s="33"/>
      <c r="L290" s="33"/>
      <c r="M290" s="33"/>
      <c r="N290" s="35"/>
      <c r="O290" s="32"/>
      <c r="P290" s="32"/>
      <c r="Q290" s="32"/>
      <c r="R290" s="32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31"/>
    </row>
    <row r="291" spans="1:40" ht="11.25" customHeight="1">
      <c r="A291" s="30"/>
      <c r="B291" s="30"/>
      <c r="C291" s="34"/>
      <c r="D291" s="34"/>
      <c r="E291" s="34"/>
      <c r="F291" s="34"/>
      <c r="G291" s="34"/>
      <c r="H291" s="34"/>
      <c r="I291" s="34"/>
      <c r="J291" s="34"/>
      <c r="K291" s="33"/>
      <c r="L291" s="33"/>
      <c r="M291" s="33"/>
      <c r="N291" s="35"/>
      <c r="O291" s="32"/>
      <c r="P291" s="32"/>
      <c r="Q291" s="32"/>
      <c r="R291" s="32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31"/>
    </row>
    <row r="292" spans="1:40" ht="11.25" customHeight="1">
      <c r="A292" s="30"/>
      <c r="B292" s="30"/>
      <c r="C292" s="34"/>
      <c r="D292" s="34"/>
      <c r="E292" s="34"/>
      <c r="F292" s="34"/>
      <c r="G292" s="34"/>
      <c r="H292" s="34"/>
      <c r="I292" s="33"/>
      <c r="J292" s="33"/>
      <c r="K292" s="33"/>
      <c r="L292" s="33"/>
      <c r="M292" s="33"/>
      <c r="N292" s="35"/>
      <c r="O292" s="32"/>
      <c r="P292" s="32"/>
      <c r="Q292" s="32"/>
      <c r="R292" s="32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31"/>
    </row>
    <row r="293" spans="1:40" ht="11.25" customHeight="1">
      <c r="A293" s="30"/>
      <c r="B293" s="30"/>
      <c r="C293" s="34"/>
      <c r="D293" s="34"/>
      <c r="E293" s="34"/>
      <c r="F293" s="34"/>
      <c r="G293" s="34"/>
      <c r="H293" s="34"/>
      <c r="I293" s="33"/>
      <c r="J293" s="33"/>
      <c r="K293" s="33"/>
      <c r="L293" s="33"/>
      <c r="M293" s="33"/>
      <c r="N293" s="35"/>
      <c r="O293" s="32"/>
      <c r="P293" s="32"/>
      <c r="Q293" s="32"/>
      <c r="R293" s="32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31"/>
    </row>
    <row r="294" spans="1:40" ht="11.25" customHeight="1">
      <c r="A294" s="30"/>
      <c r="B294" s="30"/>
      <c r="C294" s="34"/>
      <c r="D294" s="34"/>
      <c r="E294" s="34"/>
      <c r="F294" s="34"/>
      <c r="G294" s="34"/>
      <c r="H294" s="34"/>
      <c r="I294" s="33"/>
      <c r="J294" s="33"/>
      <c r="K294" s="33"/>
      <c r="L294" s="33"/>
      <c r="M294" s="33"/>
      <c r="N294" s="35"/>
      <c r="O294" s="32"/>
      <c r="P294" s="32"/>
      <c r="Q294" s="32"/>
      <c r="R294" s="32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31"/>
    </row>
    <row r="295" spans="1:40" ht="11.25" customHeight="1">
      <c r="A295" s="30"/>
      <c r="B295" s="30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7"/>
      <c r="N295" s="35">
        <f>VLOOKUP(C24,Ср.мес.Т!A19:BP1328,A24)</f>
        <v>622</v>
      </c>
      <c r="O295" s="32"/>
      <c r="P295" s="32"/>
      <c r="Q295" s="32"/>
      <c r="R295" s="32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31"/>
    </row>
    <row r="296" spans="1:40" ht="11.25" customHeight="1">
      <c r="A296" s="30"/>
      <c r="B296" s="30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7"/>
      <c r="N296" s="35" t="str">
        <f>VLOOKUP(C25,Ср.мес.Т!A20:BP1329,A25)</f>
        <v xml:space="preserve">Полтава                  </v>
      </c>
      <c r="O296" s="32"/>
      <c r="P296" s="32"/>
      <c r="Q296" s="32"/>
      <c r="R296" s="32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31"/>
    </row>
    <row r="297" spans="1:40" ht="11.25" customHeight="1">
      <c r="A297" s="30"/>
      <c r="B297" s="30"/>
      <c r="C297" s="555" t="str">
        <f>Ср.мес.Т!T1</f>
        <v>Таблица 1 - Климатические параметры холодного периода года</v>
      </c>
      <c r="D297" s="39"/>
      <c r="E297" s="39"/>
      <c r="F297" s="546" t="str">
        <f>Ср.мес.Т!U2</f>
        <v xml:space="preserve">Температура   воздуха   наиболее    холодных   суток °С, Обеспеченностью </v>
      </c>
      <c r="G297" s="546"/>
      <c r="H297" s="546"/>
      <c r="I297" s="546"/>
      <c r="J297" s="546"/>
      <c r="K297" s="546"/>
      <c r="L297" s="546"/>
      <c r="M297" s="36">
        <f>Ср.мес.Т!U3</f>
        <v>0.98</v>
      </c>
      <c r="N297" s="35">
        <f>VLOOKUP(C26,Ср.мес.Т!A21:BP1330,A26)</f>
        <v>-30</v>
      </c>
      <c r="O297" s="32"/>
      <c r="P297" s="32"/>
      <c r="Q297" s="32"/>
      <c r="R297" s="32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31"/>
    </row>
    <row r="298" spans="1:40" ht="11.25" customHeight="1">
      <c r="A298" s="30"/>
      <c r="B298" s="30"/>
      <c r="C298" s="555"/>
      <c r="D298" s="39"/>
      <c r="E298" s="39"/>
      <c r="F298" s="546"/>
      <c r="G298" s="546"/>
      <c r="H298" s="546"/>
      <c r="I298" s="546"/>
      <c r="J298" s="546"/>
      <c r="K298" s="546"/>
      <c r="L298" s="546"/>
      <c r="M298" s="36">
        <f>Ср.мес.Т!V3</f>
        <v>0.92</v>
      </c>
      <c r="N298" s="35">
        <f>VLOOKUP(C29,Ср.мес.Т!A22:BP1331,A29)</f>
        <v>-27</v>
      </c>
      <c r="O298" s="32"/>
      <c r="P298" s="32"/>
      <c r="Q298" s="32"/>
      <c r="R298" s="32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31"/>
    </row>
    <row r="299" spans="1:40" ht="11.25" customHeight="1">
      <c r="A299" s="30"/>
      <c r="B299" s="30"/>
      <c r="C299" s="555"/>
      <c r="D299" s="39"/>
      <c r="E299" s="39"/>
      <c r="F299" s="546" t="str">
        <f>Ср.мес.Т!W2</f>
        <v xml:space="preserve">Температура воздуха  наиболее  холодной пятидневки,   °С   Обеспеченностью  </v>
      </c>
      <c r="G299" s="546"/>
      <c r="H299" s="546"/>
      <c r="I299" s="546"/>
      <c r="J299" s="546"/>
      <c r="K299" s="546"/>
      <c r="L299" s="546"/>
      <c r="M299" s="36">
        <f>Ср.мес.Т!W3</f>
        <v>0.98</v>
      </c>
      <c r="N299" s="35">
        <f>VLOOKUP(C30,Ср.мес.Т!A23:BP1332,A30)</f>
        <v>-25</v>
      </c>
      <c r="O299" s="32"/>
      <c r="P299" s="32"/>
      <c r="Q299" s="32"/>
      <c r="R299" s="32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31"/>
    </row>
    <row r="300" spans="1:40" ht="11.25" customHeight="1">
      <c r="A300" s="30"/>
      <c r="B300" s="30"/>
      <c r="C300" s="555"/>
      <c r="D300" s="39"/>
      <c r="E300" s="39"/>
      <c r="F300" s="546"/>
      <c r="G300" s="546"/>
      <c r="H300" s="546"/>
      <c r="I300" s="546"/>
      <c r="J300" s="546"/>
      <c r="K300" s="546"/>
      <c r="L300" s="546"/>
      <c r="M300" s="36">
        <f>Ср.мес.Т!X3</f>
        <v>0.92</v>
      </c>
      <c r="N300" s="35">
        <f>VLOOKUP(C31,Ср.мес.Т!A24:BP1333,A31)</f>
        <v>-23</v>
      </c>
      <c r="O300" s="32"/>
      <c r="P300" s="32"/>
      <c r="Q300" s="32"/>
      <c r="R300" s="32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31"/>
    </row>
    <row r="301" spans="1:40" ht="11.25" customHeight="1">
      <c r="A301" s="30"/>
      <c r="B301" s="30"/>
      <c r="C301" s="555"/>
      <c r="D301" s="39"/>
      <c r="E301" s="39"/>
      <c r="F301" s="546" t="str">
        <f>Ср.мес.Т!Y2</f>
        <v>Температура воздуха, °С, обеспеченностью 0,94</v>
      </c>
      <c r="G301" s="546"/>
      <c r="H301" s="546"/>
      <c r="I301" s="546"/>
      <c r="J301" s="546"/>
      <c r="K301" s="546"/>
      <c r="L301" s="546"/>
      <c r="M301" s="546"/>
      <c r="N301" s="35">
        <f>VLOOKUP(C32,Ср.мес.Т!A25:BP1334,A32)</f>
        <v>-11</v>
      </c>
      <c r="O301" s="32"/>
      <c r="P301" s="32"/>
      <c r="Q301" s="32"/>
      <c r="R301" s="32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31"/>
    </row>
    <row r="302" spans="1:40" ht="11.25" customHeight="1">
      <c r="A302" s="30"/>
      <c r="B302" s="30"/>
      <c r="C302" s="555"/>
      <c r="D302" s="39"/>
      <c r="E302" s="39"/>
      <c r="F302" s="546" t="str">
        <f>Ср.мес.Т!Z2</f>
        <v xml:space="preserve">Абсолютная минимальная температура  воздуха,    °С    </v>
      </c>
      <c r="G302" s="546"/>
      <c r="H302" s="546"/>
      <c r="I302" s="546"/>
      <c r="J302" s="546"/>
      <c r="K302" s="546"/>
      <c r="L302" s="546"/>
      <c r="M302" s="546"/>
      <c r="N302" s="35">
        <f>VLOOKUP(C33,Ср.мес.Т!A26:BP1335,A33)</f>
        <v>-34</v>
      </c>
      <c r="O302" s="32"/>
      <c r="P302" s="32"/>
      <c r="Q302" s="32"/>
      <c r="R302" s="32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31"/>
    </row>
    <row r="303" spans="1:40" ht="11.25" customHeight="1">
      <c r="A303" s="30"/>
      <c r="B303" s="30"/>
      <c r="C303" s="555"/>
      <c r="D303" s="39"/>
      <c r="E303" s="39"/>
      <c r="F303" s="546" t="str">
        <f>Ср.мес.Т!AA2</f>
        <v xml:space="preserve"> Средняя суточная амплитуда температуры воздуха наиболее холодного месяца,  °С        </v>
      </c>
      <c r="G303" s="546"/>
      <c r="H303" s="546"/>
      <c r="I303" s="546"/>
      <c r="J303" s="546"/>
      <c r="K303" s="546"/>
      <c r="L303" s="546"/>
      <c r="M303" s="546"/>
      <c r="N303" s="35" t="str">
        <f>VLOOKUP(C34,Ср.мес.Т!A27:BP1336,A34)</f>
        <v xml:space="preserve">    -     </v>
      </c>
      <c r="O303" s="32"/>
      <c r="P303" s="32"/>
      <c r="Q303" s="32"/>
      <c r="R303" s="32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31"/>
    </row>
    <row r="304" spans="1:40" ht="11.25" customHeight="1">
      <c r="A304" s="30"/>
      <c r="B304" s="30"/>
      <c r="C304" s="555"/>
      <c r="D304" s="39"/>
      <c r="E304" s="39"/>
      <c r="F304" s="546" t="str">
        <f>Ср.мес.Т!AB2</f>
        <v>Продолжительность, сут, и средняя температура  воздуха, °С в  период  со средней суточной   температурой воздуха</v>
      </c>
      <c r="G304" s="546"/>
      <c r="H304" s="546"/>
      <c r="I304" s="546"/>
      <c r="J304" s="546"/>
      <c r="K304" s="546"/>
      <c r="L304" s="547" t="str">
        <f>Ср.мес.Т!AB3</f>
        <v>продолжительность</v>
      </c>
      <c r="M304" s="547"/>
      <c r="N304" s="35">
        <f>VLOOKUP(C35,Ср.мес.Т!A28:BP1337,A35)</f>
        <v>112</v>
      </c>
      <c r="O304" s="32"/>
      <c r="P304" s="32"/>
      <c r="Q304" s="32"/>
      <c r="R304" s="32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31"/>
    </row>
    <row r="305" spans="1:40" ht="11.25" customHeight="1">
      <c r="A305" s="30"/>
      <c r="B305" s="30"/>
      <c r="C305" s="555"/>
      <c r="D305" s="39"/>
      <c r="E305" s="39"/>
      <c r="F305" s="546"/>
      <c r="G305" s="546"/>
      <c r="H305" s="546"/>
      <c r="I305" s="546"/>
      <c r="J305" s="546"/>
      <c r="K305" s="546"/>
      <c r="L305" s="547" t="str">
        <f>Ср.мес.Т!AC3</f>
        <v>средняя температура</v>
      </c>
      <c r="M305" s="547"/>
      <c r="N305" s="35">
        <f>VLOOKUP(C36,Ср.мес.Т!A29:BP1338,A36)</f>
        <v>-4.3</v>
      </c>
      <c r="O305" s="32"/>
      <c r="P305" s="32"/>
      <c r="Q305" s="32"/>
      <c r="R305" s="32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31"/>
    </row>
    <row r="306" spans="1:40" ht="11.25" customHeight="1">
      <c r="A306" s="30"/>
      <c r="B306" s="30"/>
      <c r="C306" s="555"/>
      <c r="D306" s="39"/>
      <c r="E306" s="39"/>
      <c r="F306" s="546" t="str">
        <f>Ср.мес.Т!AB2</f>
        <v>Продолжительность, сут, и средняя температура  воздуха, °С в  период  со средней суточной   температурой воздуха</v>
      </c>
      <c r="G306" s="546"/>
      <c r="H306" s="546"/>
      <c r="I306" s="546"/>
      <c r="J306" s="546"/>
      <c r="K306" s="546"/>
      <c r="L306" s="547" t="str">
        <f>Ср.мес.Т!AD3</f>
        <v>продолжительность</v>
      </c>
      <c r="M306" s="547"/>
      <c r="N306" s="35">
        <f>VLOOKUP(C37,Ср.мес.Т!A30:BP1339,A37)</f>
        <v>177</v>
      </c>
      <c r="O306" s="32"/>
      <c r="P306" s="32"/>
      <c r="Q306" s="32"/>
      <c r="R306" s="32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31"/>
    </row>
    <row r="307" spans="1:40" ht="11.25" customHeight="1">
      <c r="A307" s="30"/>
      <c r="B307" s="30"/>
      <c r="C307" s="555"/>
      <c r="D307" s="39"/>
      <c r="E307" s="39"/>
      <c r="F307" s="546"/>
      <c r="G307" s="546"/>
      <c r="H307" s="546"/>
      <c r="I307" s="546"/>
      <c r="J307" s="546"/>
      <c r="K307" s="546"/>
      <c r="L307" s="547" t="str">
        <f>Ср.мес.Т!AE3</f>
        <v>средняя температура</v>
      </c>
      <c r="M307" s="547"/>
      <c r="N307" s="35">
        <f>VLOOKUP(C38,Ср.мес.Т!A31:BP1340,A38)</f>
        <v>-1.3</v>
      </c>
      <c r="O307" s="32"/>
      <c r="P307" s="32"/>
      <c r="Q307" s="32"/>
      <c r="R307" s="32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31"/>
    </row>
    <row r="308" spans="1:40" ht="11.25" customHeight="1">
      <c r="A308" s="30"/>
      <c r="B308" s="30"/>
      <c r="C308" s="555"/>
      <c r="D308" s="39"/>
      <c r="E308" s="39"/>
      <c r="F308" s="546" t="str">
        <f>Ср.мес.Т!AB2</f>
        <v>Продолжительность, сут, и средняя температура  воздуха, °С в  период  со средней суточной   температурой воздуха</v>
      </c>
      <c r="G308" s="546"/>
      <c r="H308" s="546"/>
      <c r="I308" s="546"/>
      <c r="J308" s="546"/>
      <c r="K308" s="546"/>
      <c r="L308" s="547" t="str">
        <f>Ср.мес.Т!AF3</f>
        <v>продолжительность</v>
      </c>
      <c r="M308" s="547"/>
      <c r="N308" s="35">
        <f>VLOOKUP(C39,Ср.мес.Т!A32:BP1341,A39)</f>
        <v>193</v>
      </c>
      <c r="O308" s="32"/>
      <c r="P308" s="32"/>
      <c r="Q308" s="32"/>
      <c r="R308" s="32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31"/>
    </row>
    <row r="309" spans="1:40" ht="11.25" customHeight="1">
      <c r="A309" s="30"/>
      <c r="B309" s="30"/>
      <c r="C309" s="555"/>
      <c r="D309" s="39"/>
      <c r="E309" s="39"/>
      <c r="F309" s="546"/>
      <c r="G309" s="546"/>
      <c r="H309" s="546"/>
      <c r="I309" s="546"/>
      <c r="J309" s="546"/>
      <c r="K309" s="546"/>
      <c r="L309" s="547" t="str">
        <f>Ср.мес.Т!AG3</f>
        <v>средняя температура</v>
      </c>
      <c r="M309" s="547"/>
      <c r="N309" s="35">
        <f>VLOOKUP(C40,Ср.мес.Т!A33:BP1342,A40)</f>
        <v>-0.5</v>
      </c>
      <c r="O309" s="32"/>
      <c r="P309" s="32"/>
      <c r="Q309" s="32"/>
      <c r="R309" s="32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31"/>
    </row>
    <row r="310" spans="1:40" ht="11.25" customHeight="1">
      <c r="A310" s="30"/>
      <c r="B310" s="30"/>
      <c r="C310" s="555"/>
      <c r="D310" s="39"/>
      <c r="E310" s="39"/>
      <c r="F310" s="546" t="str">
        <f>Ср.мес.Т!AH2</f>
        <v xml:space="preserve">Средняя  месячная относительная влажность  воздуха   наиболее холодного месяца, % </v>
      </c>
      <c r="G310" s="546"/>
      <c r="H310" s="546"/>
      <c r="I310" s="546"/>
      <c r="J310" s="546"/>
      <c r="K310" s="546"/>
      <c r="L310" s="546"/>
      <c r="M310" s="546"/>
      <c r="N310" s="35" t="str">
        <f>VLOOKUP(C41,Ср.мес.Т!A34:BP1343,A41)</f>
        <v xml:space="preserve">    -     </v>
      </c>
      <c r="O310" s="32"/>
      <c r="P310" s="32"/>
      <c r="Q310" s="32"/>
      <c r="R310" s="32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31"/>
    </row>
    <row r="311" spans="1:40" ht="11.25" customHeight="1">
      <c r="A311" s="30"/>
      <c r="B311" s="30"/>
      <c r="C311" s="555"/>
      <c r="D311" s="39"/>
      <c r="E311" s="39"/>
      <c r="F311" s="546" t="str">
        <f>Ср.мес.Т!AI2</f>
        <v xml:space="preserve">Средняя   месячная относительная  влажность воздуха в   15 ч    наиболее холодного месяца, % </v>
      </c>
      <c r="G311" s="546"/>
      <c r="H311" s="546"/>
      <c r="I311" s="546"/>
      <c r="J311" s="546"/>
      <c r="K311" s="546"/>
      <c r="L311" s="546"/>
      <c r="M311" s="546"/>
      <c r="N311" s="35" t="str">
        <f>VLOOKUP(C42,Ср.мес.Т!A35:BP1344,A42)</f>
        <v xml:space="preserve">    -     </v>
      </c>
      <c r="O311" s="32"/>
      <c r="P311" s="32"/>
      <c r="Q311" s="32"/>
      <c r="R311" s="32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31"/>
    </row>
    <row r="312" spans="1:40" ht="11.25" customHeight="1">
      <c r="A312" s="30"/>
      <c r="B312" s="30"/>
      <c r="C312" s="555"/>
      <c r="D312" s="39"/>
      <c r="E312" s="39"/>
      <c r="F312" s="546" t="str">
        <f>Ср.мес.Т!AJ2</f>
        <v xml:space="preserve">Количество осадков  за  ноябрь - март, мм   </v>
      </c>
      <c r="G312" s="546"/>
      <c r="H312" s="546"/>
      <c r="I312" s="546"/>
      <c r="J312" s="546"/>
      <c r="K312" s="546"/>
      <c r="L312" s="546"/>
      <c r="M312" s="546"/>
      <c r="N312" s="35">
        <f>VLOOKUP(C43,Ср.мес.Т!A36:BP1345,A43)</f>
        <v>215</v>
      </c>
      <c r="O312" s="32"/>
      <c r="P312" s="32"/>
      <c r="Q312" s="32"/>
      <c r="R312" s="32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31"/>
    </row>
    <row r="313" spans="1:40" ht="11.25" customHeight="1">
      <c r="A313" s="30"/>
      <c r="B313" s="30"/>
      <c r="C313" s="555"/>
      <c r="D313" s="39"/>
      <c r="E313" s="39"/>
      <c r="F313" s="546" t="str">
        <f>Ср.мес.Т!AK2</f>
        <v xml:space="preserve">Преобладающее направление ветра за декабрь - февраль  </v>
      </c>
      <c r="G313" s="546"/>
      <c r="H313" s="546"/>
      <c r="I313" s="546"/>
      <c r="J313" s="546"/>
      <c r="K313" s="546"/>
      <c r="L313" s="546"/>
      <c r="M313" s="546"/>
      <c r="N313" s="35" t="str">
        <f>VLOOKUP(C44,Ср.мес.Т!A37:BP1346,A44)</f>
        <v xml:space="preserve">    В    </v>
      </c>
      <c r="O313" s="32"/>
      <c r="P313" s="32"/>
      <c r="Q313" s="32"/>
      <c r="R313" s="32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31"/>
    </row>
    <row r="314" spans="1:40" ht="11.25" customHeight="1">
      <c r="A314" s="30"/>
      <c r="B314" s="30"/>
      <c r="C314" s="555"/>
      <c r="D314" s="39"/>
      <c r="E314" s="39"/>
      <c r="F314" s="546" t="str">
        <f>Ср.мес.Т!AL2</f>
        <v xml:space="preserve">Максимальная  из средних скоростей ветра по румбам за  январь,    м/с   </v>
      </c>
      <c r="G314" s="546"/>
      <c r="H314" s="546"/>
      <c r="I314" s="546"/>
      <c r="J314" s="546"/>
      <c r="K314" s="546"/>
      <c r="L314" s="546"/>
      <c r="M314" s="546"/>
      <c r="N314" s="35" t="str">
        <f>VLOOKUP(C45,Ср.мес.Т!A38:BP1347,A45)</f>
        <v xml:space="preserve">    -    </v>
      </c>
      <c r="O314" s="32"/>
      <c r="P314" s="32"/>
      <c r="Q314" s="32"/>
      <c r="R314" s="32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31"/>
    </row>
    <row r="315" spans="1:40" ht="11.25" customHeight="1">
      <c r="A315" s="30"/>
      <c r="B315" s="30"/>
      <c r="C315" s="555"/>
      <c r="D315" s="39"/>
      <c r="E315" s="39"/>
      <c r="F315" s="546" t="str">
        <f>Ср.мес.Т!AM2</f>
        <v xml:space="preserve">Средняя скорость  ветра,  м/с, за период со  средней суточной температурой воздуха  </v>
      </c>
      <c r="G315" s="546"/>
      <c r="H315" s="546"/>
      <c r="I315" s="546"/>
      <c r="J315" s="546"/>
      <c r="K315" s="546"/>
      <c r="L315" s="546"/>
      <c r="M315" s="546"/>
      <c r="N315" s="35" t="str">
        <f>VLOOKUP(C46,Ср.мес.Т!A39:BP1348,A46)</f>
        <v xml:space="preserve">    -    </v>
      </c>
      <c r="O315" s="32"/>
      <c r="P315" s="32"/>
      <c r="Q315" s="32"/>
      <c r="R315" s="32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31"/>
    </row>
    <row r="316" spans="1:40" ht="11.25" customHeight="1">
      <c r="A316" s="30"/>
      <c r="B316" s="30"/>
      <c r="C316" s="35"/>
      <c r="D316" s="35"/>
      <c r="E316" s="35"/>
      <c r="F316" s="41"/>
      <c r="G316" s="41"/>
      <c r="H316" s="41"/>
      <c r="I316" s="41"/>
      <c r="J316" s="41"/>
      <c r="K316" s="41"/>
      <c r="L316" s="41"/>
      <c r="M316" s="40"/>
      <c r="N316" s="35">
        <f>VLOOKUP(C47,Ср.мес.Т!A40:BP1349,A47)</f>
        <v>623</v>
      </c>
      <c r="O316" s="32"/>
      <c r="P316" s="32"/>
      <c r="Q316" s="32"/>
      <c r="R316" s="32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31"/>
    </row>
    <row r="317" spans="1:40" ht="11.25" customHeight="1">
      <c r="A317" s="30"/>
      <c r="B317" s="30"/>
      <c r="C317" s="35"/>
      <c r="D317" s="35"/>
      <c r="E317" s="35"/>
      <c r="F317" s="41"/>
      <c r="G317" s="41"/>
      <c r="H317" s="41"/>
      <c r="I317" s="41"/>
      <c r="J317" s="41"/>
      <c r="K317" s="41"/>
      <c r="L317" s="41"/>
      <c r="M317" s="40"/>
      <c r="N317" s="35" t="str">
        <f>VLOOKUP(C48,Ср.мес.Т!A41:BP1350,A48)</f>
        <v xml:space="preserve">Полтава                 </v>
      </c>
      <c r="O317" s="32"/>
      <c r="P317" s="32"/>
      <c r="Q317" s="32"/>
      <c r="R317" s="32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31"/>
    </row>
    <row r="318" spans="1:40" ht="11.25" customHeight="1">
      <c r="A318" s="30"/>
      <c r="B318" s="30"/>
      <c r="C318" s="555" t="str">
        <f>Ср.мес.Т!AO1</f>
        <v>Таблица 2 - Климатические параметры теплого периода года</v>
      </c>
      <c r="D318" s="39"/>
      <c r="E318" s="39"/>
      <c r="F318" s="546" t="str">
        <f>Ср.мес.Т!AP2</f>
        <v xml:space="preserve">Барометрическое давление, гПа  </v>
      </c>
      <c r="G318" s="546"/>
      <c r="H318" s="546"/>
      <c r="I318" s="546"/>
      <c r="J318" s="546"/>
      <c r="K318" s="546"/>
      <c r="L318" s="554"/>
      <c r="M318" s="554"/>
      <c r="N318" s="35">
        <f>VLOOKUP(C49,Ср.мес.Т!A42:BP1351,A49)</f>
        <v>995</v>
      </c>
      <c r="O318" s="32"/>
      <c r="P318" s="32"/>
      <c r="Q318" s="32"/>
      <c r="R318" s="32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31"/>
    </row>
    <row r="319" spans="1:40" ht="11.25" customHeight="1">
      <c r="A319" s="30"/>
      <c r="B319" s="30"/>
      <c r="C319" s="555"/>
      <c r="D319" s="39"/>
      <c r="E319" s="39"/>
      <c r="F319" s="553" t="str">
        <f>Ср.мес.Т!AQ2</f>
        <v xml:space="preserve">Темпера тура воздуха, °С, обеспеченностью  0,95  </v>
      </c>
      <c r="G319" s="553"/>
      <c r="H319" s="553"/>
      <c r="I319" s="553"/>
      <c r="J319" s="553"/>
      <c r="K319" s="553"/>
      <c r="L319" s="554"/>
      <c r="M319" s="554"/>
      <c r="N319" s="35">
        <f>VLOOKUP(C50,Ср.мес.Т!A43:BP1352,A50)</f>
        <v>29</v>
      </c>
      <c r="O319" s="32"/>
      <c r="P319" s="32"/>
      <c r="Q319" s="32"/>
      <c r="R319" s="32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31"/>
    </row>
    <row r="320" spans="1:40" ht="11.25" customHeight="1">
      <c r="A320" s="30"/>
      <c r="B320" s="30"/>
      <c r="C320" s="555"/>
      <c r="D320" s="39"/>
      <c r="E320" s="39"/>
      <c r="F320" s="553" t="str">
        <f>Ср.мес.Т!AR2</f>
        <v xml:space="preserve">Темпера тура воздуха,  °С, обеспеченностью  0,99   </v>
      </c>
      <c r="G320" s="553"/>
      <c r="H320" s="553"/>
      <c r="I320" s="553"/>
      <c r="J320" s="553"/>
      <c r="K320" s="553"/>
      <c r="L320" s="554"/>
      <c r="M320" s="554"/>
      <c r="N320" s="35">
        <f>VLOOKUP(C51,Ср.мес.Т!A44:BP1353,A51)</f>
        <v>25</v>
      </c>
      <c r="O320" s="32"/>
      <c r="P320" s="32"/>
      <c r="Q320" s="32"/>
      <c r="R320" s="32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31"/>
    </row>
    <row r="321" spans="1:40" ht="11.25" customHeight="1">
      <c r="A321" s="30"/>
      <c r="B321" s="30"/>
      <c r="C321" s="555"/>
      <c r="D321" s="39"/>
      <c r="E321" s="39"/>
      <c r="F321" s="553" t="str">
        <f>Ср.мес.Т!AS2</f>
        <v xml:space="preserve">Средняя максимальная температура воздуха наиболее теплого месяца,   °С    </v>
      </c>
      <c r="G321" s="553"/>
      <c r="H321" s="553"/>
      <c r="I321" s="553"/>
      <c r="J321" s="553"/>
      <c r="K321" s="553"/>
      <c r="L321" s="554"/>
      <c r="M321" s="554"/>
      <c r="N321" s="35">
        <f>VLOOKUP(C52,Ср.мес.Т!A45:BP1354,A52)</f>
        <v>26</v>
      </c>
      <c r="O321" s="32"/>
      <c r="P321" s="32"/>
      <c r="Q321" s="32"/>
      <c r="R321" s="32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31"/>
    </row>
    <row r="322" spans="1:40" ht="11.25" customHeight="1">
      <c r="A322" s="30"/>
      <c r="B322" s="30"/>
      <c r="C322" s="555"/>
      <c r="D322" s="39"/>
      <c r="E322" s="39"/>
      <c r="F322" s="553" t="str">
        <f>Ср.мес.Т!AT2</f>
        <v xml:space="preserve">Абсолютная максимальная температура воздуха,  °С    </v>
      </c>
      <c r="G322" s="553"/>
      <c r="H322" s="553"/>
      <c r="I322" s="553"/>
      <c r="J322" s="553"/>
      <c r="K322" s="553"/>
      <c r="L322" s="554"/>
      <c r="M322" s="554"/>
      <c r="N322" s="35">
        <f>VLOOKUP(C53,Ср.мес.Т!A46:BP1355,A53)</f>
        <v>38</v>
      </c>
      <c r="O322" s="32"/>
      <c r="P322" s="32"/>
      <c r="Q322" s="32"/>
      <c r="R322" s="32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31"/>
    </row>
    <row r="323" spans="1:40" ht="11.25" customHeight="1">
      <c r="A323" s="30"/>
      <c r="B323" s="30"/>
      <c r="C323" s="555"/>
      <c r="D323" s="39"/>
      <c r="E323" s="39"/>
      <c r="F323" s="553" t="str">
        <f>Ср.мес.Т!AU2</f>
        <v xml:space="preserve">Средняя  суточная амплитуда температуры воздуха  наиболее теплого  месяца, °С </v>
      </c>
      <c r="G323" s="553"/>
      <c r="H323" s="553"/>
      <c r="I323" s="553"/>
      <c r="J323" s="553"/>
      <c r="K323" s="553"/>
      <c r="L323" s="554"/>
      <c r="M323" s="554"/>
      <c r="N323" s="35" t="str">
        <f>VLOOKUP(C54,Ср.мес.Т!A47:BP1356,A54)</f>
        <v xml:space="preserve">     -     </v>
      </c>
      <c r="O323" s="32"/>
      <c r="P323" s="32"/>
      <c r="Q323" s="32"/>
      <c r="R323" s="32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31"/>
    </row>
    <row r="324" spans="1:40" ht="11.25" customHeight="1">
      <c r="A324" s="30"/>
      <c r="B324" s="30"/>
      <c r="C324" s="555"/>
      <c r="D324" s="39"/>
      <c r="E324" s="39"/>
      <c r="F324" s="553" t="str">
        <f>Ср.мес.Т!AV2</f>
        <v xml:space="preserve">Средняя месячная относительная влажность воздуха наиболее теплого месяца,    %    </v>
      </c>
      <c r="G324" s="553"/>
      <c r="H324" s="553"/>
      <c r="I324" s="553"/>
      <c r="J324" s="553"/>
      <c r="K324" s="553"/>
      <c r="L324" s="554"/>
      <c r="M324" s="554"/>
      <c r="N324" s="35" t="str">
        <f>VLOOKUP(C55,Ср.мес.Т!A48:BP1357,A55)</f>
        <v xml:space="preserve">   -    </v>
      </c>
      <c r="O324" s="32"/>
      <c r="P324" s="32"/>
      <c r="Q324" s="32"/>
      <c r="R324" s="32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31"/>
    </row>
    <row r="325" spans="1:40" ht="11.25" customHeight="1">
      <c r="A325" s="30"/>
      <c r="B325" s="30"/>
      <c r="C325" s="555"/>
      <c r="D325" s="39"/>
      <c r="E325" s="39"/>
      <c r="F325" s="553" t="str">
        <f>Ср.мес.Т!AW2</f>
        <v>Средняя месячная относительная  влажность воздуха в 15 ч  наиболее  теплого месяца, %</v>
      </c>
      <c r="G325" s="553"/>
      <c r="H325" s="553"/>
      <c r="I325" s="553"/>
      <c r="J325" s="553"/>
      <c r="K325" s="553"/>
      <c r="L325" s="554"/>
      <c r="M325" s="554"/>
      <c r="N325" s="35" t="str">
        <f>VLOOKUP(C56,Ср.мес.Т!A49:BP1358,A56)</f>
        <v xml:space="preserve">    -    </v>
      </c>
      <c r="O325" s="32"/>
      <c r="P325" s="32"/>
      <c r="Q325" s="32"/>
      <c r="R325" s="32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31"/>
    </row>
    <row r="326" spans="1:40" ht="11.25" customHeight="1">
      <c r="A326" s="30"/>
      <c r="B326" s="30"/>
      <c r="C326" s="555"/>
      <c r="D326" s="39"/>
      <c r="E326" s="39"/>
      <c r="F326" s="553" t="str">
        <f>Ср.мес.Т!AX2</f>
        <v xml:space="preserve">Количество осадков за апрель октябрь,    мм    </v>
      </c>
      <c r="G326" s="553"/>
      <c r="H326" s="553"/>
      <c r="I326" s="553"/>
      <c r="J326" s="553"/>
      <c r="K326" s="553"/>
      <c r="L326" s="554"/>
      <c r="M326" s="554"/>
      <c r="N326" s="35" t="str">
        <f>VLOOKUP(C57,Ср.мес.Т!A50:BP1359,A57)</f>
        <v xml:space="preserve">    -    </v>
      </c>
      <c r="O326" s="32"/>
      <c r="P326" s="32"/>
      <c r="Q326" s="32"/>
      <c r="R326" s="32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31"/>
    </row>
    <row r="327" spans="1:40" ht="11.25" customHeight="1">
      <c r="A327" s="30"/>
      <c r="B327" s="30"/>
      <c r="C327" s="555"/>
      <c r="D327" s="39"/>
      <c r="E327" s="39"/>
      <c r="F327" s="553" t="str">
        <f>Ср.мес.Т!AY2</f>
        <v xml:space="preserve">Суточный максимум осадков,  мм  </v>
      </c>
      <c r="G327" s="553"/>
      <c r="H327" s="553"/>
      <c r="I327" s="553"/>
      <c r="J327" s="553"/>
      <c r="K327" s="553"/>
      <c r="L327" s="554"/>
      <c r="M327" s="554"/>
      <c r="N327" s="35">
        <f>VLOOKUP(C58,Ср.мес.Т!A51:BP1360,A58)</f>
        <v>178</v>
      </c>
      <c r="O327" s="32"/>
      <c r="P327" s="32"/>
      <c r="Q327" s="32"/>
      <c r="R327" s="32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31"/>
    </row>
    <row r="328" spans="1:40" ht="11.25" customHeight="1">
      <c r="A328" s="30"/>
      <c r="B328" s="30"/>
      <c r="C328" s="555"/>
      <c r="D328" s="39"/>
      <c r="E328" s="39"/>
      <c r="F328" s="553" t="str">
        <f>Ср.мес.Т!AZ2</f>
        <v>Преобладающее направление ветра за  июнь-август</v>
      </c>
      <c r="G328" s="553"/>
      <c r="H328" s="553"/>
      <c r="I328" s="553"/>
      <c r="J328" s="553"/>
      <c r="K328" s="553"/>
      <c r="L328" s="554"/>
      <c r="M328" s="554"/>
      <c r="N328" s="35" t="str">
        <f>VLOOKUP(C59,Ср.мес.Т!A52:BP1361,A59)</f>
        <v xml:space="preserve">  З   </v>
      </c>
      <c r="O328" s="32"/>
      <c r="P328" s="32"/>
      <c r="Q328" s="32"/>
      <c r="R328" s="32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31"/>
    </row>
    <row r="329" spans="1:40" ht="11.25" customHeight="1">
      <c r="A329" s="30"/>
      <c r="B329" s="30"/>
      <c r="C329" s="555"/>
      <c r="D329" s="39"/>
      <c r="E329" s="39"/>
      <c r="F329" s="553" t="str">
        <f>Ср.мес.Т!BA2</f>
        <v xml:space="preserve">Минимальная из средних скоростей  ветра по  румбам за  июль, м/с </v>
      </c>
      <c r="G329" s="553"/>
      <c r="H329" s="553"/>
      <c r="I329" s="553"/>
      <c r="J329" s="553"/>
      <c r="K329" s="553"/>
      <c r="L329" s="554"/>
      <c r="M329" s="554"/>
      <c r="N329" s="35">
        <f>VLOOKUP(C60,Ср.мес.Т!A53:BP1362,A60)</f>
        <v>1.7</v>
      </c>
      <c r="O329" s="32"/>
      <c r="P329" s="32"/>
      <c r="Q329" s="32"/>
      <c r="R329" s="32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31"/>
    </row>
    <row r="330" spans="1:40" ht="11.25" customHeight="1">
      <c r="A330" s="30"/>
      <c r="B330" s="30"/>
      <c r="C330" s="38"/>
      <c r="D330" s="38"/>
      <c r="E330" s="38"/>
      <c r="F330" s="33"/>
      <c r="G330" s="33"/>
      <c r="H330" s="33"/>
      <c r="I330" s="33"/>
      <c r="J330" s="33"/>
      <c r="K330" s="33"/>
      <c r="L330" s="33"/>
      <c r="M330" s="37"/>
      <c r="N330" s="35">
        <f>VLOOKUP(C61,Ср.мес.Т!A54:BP1363,A61)</f>
        <v>0</v>
      </c>
      <c r="O330" s="32"/>
      <c r="P330" s="32"/>
      <c r="Q330" s="32"/>
      <c r="R330" s="32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31"/>
    </row>
    <row r="331" spans="1:40" ht="11.25" customHeight="1">
      <c r="A331" s="30"/>
      <c r="B331" s="30"/>
      <c r="C331" s="38"/>
      <c r="D331" s="38"/>
      <c r="E331" s="38"/>
      <c r="F331" s="33"/>
      <c r="G331" s="33"/>
      <c r="H331" s="33"/>
      <c r="I331" s="33"/>
      <c r="J331" s="33"/>
      <c r="K331" s="33"/>
      <c r="L331" s="33"/>
      <c r="M331" s="37"/>
      <c r="N331" s="35" t="str">
        <f>VLOOKUP(C62,Ср.мес.Т!A55:BP1364,A62)</f>
        <v xml:space="preserve">Полтава                  </v>
      </c>
      <c r="O331" s="32"/>
      <c r="P331" s="32"/>
      <c r="Q331" s="32"/>
      <c r="R331" s="32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31"/>
    </row>
    <row r="332" spans="1:40" ht="11.25" customHeight="1">
      <c r="A332" s="30"/>
      <c r="B332" s="30"/>
      <c r="C332" s="552" t="str">
        <f>Ср.мес.Т!BC1</f>
        <v>Таблица 5а. Среднее месячное и годовое парциальное давление водяного пара, гПа</v>
      </c>
      <c r="D332" s="552"/>
      <c r="E332" s="552"/>
      <c r="F332" s="552"/>
      <c r="G332" s="36" t="str">
        <f>Ср.мес.Т!BD3</f>
        <v xml:space="preserve">  I  </v>
      </c>
      <c r="H332" s="35">
        <f>VLOOKUP(C63,Ср.мес.Т!A56:BP1365,A63)</f>
        <v>0</v>
      </c>
      <c r="I332" s="36" t="str">
        <f>Ср.мес.Т!BG3</f>
        <v xml:space="preserve"> IV  </v>
      </c>
      <c r="J332" s="35">
        <f>VLOOKUP(C66,Ср.мес.Т!A59:BP1368,A66)</f>
        <v>0</v>
      </c>
      <c r="K332" s="36" t="str">
        <f>Ср.мес.Т!BJ3</f>
        <v xml:space="preserve"> VII </v>
      </c>
      <c r="L332" s="35">
        <f>VLOOKUP(C69,Ср.мес.Т!A62:BP1371,A69)</f>
        <v>0</v>
      </c>
      <c r="M332" s="36" t="str">
        <f>Ср.мес.Т!BM3</f>
        <v xml:space="preserve">  X  </v>
      </c>
      <c r="N332" s="35">
        <f>VLOOKUP(C72,Ср.мес.Т!A65:BP1374,A72)</f>
        <v>0</v>
      </c>
      <c r="O332" s="32"/>
      <c r="P332" s="32"/>
      <c r="Q332" s="32"/>
      <c r="R332" s="32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31"/>
    </row>
    <row r="333" spans="1:40" ht="11.25" customHeight="1">
      <c r="A333" s="30"/>
      <c r="B333" s="30"/>
      <c r="C333" s="552"/>
      <c r="D333" s="552"/>
      <c r="E333" s="552"/>
      <c r="F333" s="552"/>
      <c r="G333" s="36" t="str">
        <f>Ср.мес.Т!BE3</f>
        <v xml:space="preserve"> II </v>
      </c>
      <c r="H333" s="35">
        <f>VLOOKUP(C64,Ср.мес.Т!A57:BP1366,A64)</f>
        <v>0</v>
      </c>
      <c r="I333" s="36" t="str">
        <f>Ср.мес.Т!BH3</f>
        <v xml:space="preserve"> V  </v>
      </c>
      <c r="J333" s="35">
        <f>VLOOKUP(C67,Ср.мес.Т!A60:BP1369,A67)</f>
        <v>0</v>
      </c>
      <c r="K333" s="36" t="str">
        <f>Ср.мес.Т!BK3</f>
        <v>VIII</v>
      </c>
      <c r="L333" s="35">
        <f>VLOOKUP(C70,Ср.мес.Т!A63:BP1372,A70)</f>
        <v>0</v>
      </c>
      <c r="M333" s="36" t="str">
        <f>Ср.мес.Т!BN3</f>
        <v xml:space="preserve"> XI </v>
      </c>
      <c r="N333" s="35">
        <f>VLOOKUP(C73,Ср.мес.Т!A66:BP1375,A73)</f>
        <v>0</v>
      </c>
      <c r="O333" s="32"/>
      <c r="P333" s="32"/>
      <c r="Q333" s="32"/>
      <c r="R333" s="32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31"/>
    </row>
    <row r="334" spans="1:40" ht="11.25" customHeight="1">
      <c r="A334" s="30"/>
      <c r="B334" s="30"/>
      <c r="C334" s="552"/>
      <c r="D334" s="552"/>
      <c r="E334" s="552"/>
      <c r="F334" s="552"/>
      <c r="G334" s="36" t="str">
        <f>Ср.мес.Т!BF3</f>
        <v xml:space="preserve"> III </v>
      </c>
      <c r="H334" s="35">
        <f>VLOOKUP(C65,Ср.мес.Т!A58:BP1367,A65)</f>
        <v>0</v>
      </c>
      <c r="I334" s="36" t="str">
        <f>Ср.мес.Т!BI3</f>
        <v xml:space="preserve"> VI  </v>
      </c>
      <c r="J334" s="35">
        <f>VLOOKUP(C68,Ср.мес.Т!A61:BP1370,A68)</f>
        <v>0</v>
      </c>
      <c r="K334" s="36" t="str">
        <f>Ср.мес.Т!BL3</f>
        <v xml:space="preserve"> IX  </v>
      </c>
      <c r="L334" s="35">
        <f>VLOOKUP(C71,Ср.мес.Т!A64:BP1373,A71)</f>
        <v>0</v>
      </c>
      <c r="M334" s="36" t="str">
        <f>Ср.мес.Т!BO3</f>
        <v xml:space="preserve"> ХII </v>
      </c>
      <c r="N334" s="35">
        <f>VLOOKUP(C74,Ср.мес.Т!A67:BP1376,A74)</f>
        <v>0</v>
      </c>
      <c r="O334" s="32"/>
      <c r="P334" s="32"/>
      <c r="Q334" s="32"/>
      <c r="R334" s="32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31"/>
    </row>
    <row r="335" spans="1:40" ht="11.25" customHeight="1">
      <c r="A335" s="30"/>
      <c r="B335" s="30"/>
      <c r="C335" s="552"/>
      <c r="D335" s="552"/>
      <c r="E335" s="552"/>
      <c r="F335" s="552"/>
      <c r="G335" s="547" t="str">
        <f>Ср.мес.Т!BP3</f>
        <v xml:space="preserve"> Год </v>
      </c>
      <c r="H335" s="547"/>
      <c r="I335" s="547"/>
      <c r="J335" s="547"/>
      <c r="K335" s="547"/>
      <c r="L335" s="547"/>
      <c r="M335" s="547"/>
      <c r="N335" s="32">
        <f>VLOOKUP(C75,Ср.мес.Т!A68:BP1377,A75)</f>
        <v>0</v>
      </c>
      <c r="O335" s="32"/>
      <c r="P335" s="32"/>
      <c r="Q335" s="32"/>
      <c r="R335" s="32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31"/>
    </row>
    <row r="336" spans="1:40" ht="11.25" customHeight="1">
      <c r="A336" s="30"/>
      <c r="B336" s="30"/>
      <c r="C336" s="552"/>
      <c r="D336" s="552"/>
      <c r="E336" s="552"/>
      <c r="F336" s="552"/>
      <c r="G336" s="34"/>
      <c r="H336" s="34"/>
      <c r="I336" s="34"/>
      <c r="J336" s="34"/>
      <c r="K336" s="34"/>
      <c r="L336" s="34"/>
      <c r="M336" s="33"/>
      <c r="N336" s="32"/>
      <c r="O336" s="32"/>
      <c r="P336" s="32"/>
      <c r="Q336" s="32"/>
      <c r="R336" s="32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31"/>
    </row>
    <row r="337" spans="1:40" ht="11.25" customHeight="1">
      <c r="A337" s="30"/>
      <c r="B337" s="30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9"/>
      <c r="P337" s="29"/>
      <c r="Q337" s="29"/>
      <c r="R337" s="29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31"/>
    </row>
    <row r="338" spans="1:40" ht="11.25" customHeight="1">
      <c r="A338" s="30"/>
      <c r="B338" s="30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9"/>
      <c r="P338" s="29"/>
      <c r="Q338" s="29"/>
      <c r="R338" s="29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31"/>
    </row>
    <row r="339" spans="1:40" ht="11.25" customHeight="1"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9"/>
      <c r="P339" s="29"/>
      <c r="Q339" s="29"/>
      <c r="R339" s="29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31"/>
    </row>
    <row r="340" spans="1:40" ht="11.25" customHeight="1"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9"/>
      <c r="P340" s="29"/>
      <c r="Q340" s="29"/>
      <c r="R340" s="29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31"/>
    </row>
    <row r="341" spans="1:40" ht="11.25" customHeight="1"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9"/>
      <c r="P341" s="29"/>
      <c r="Q341" s="29"/>
      <c r="R341" s="29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31"/>
    </row>
    <row r="342" spans="1:40" ht="11.25" customHeight="1"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9"/>
      <c r="P342" s="29"/>
      <c r="Q342" s="29"/>
      <c r="R342" s="29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31"/>
    </row>
    <row r="343" spans="1:40" ht="11.25" customHeight="1"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9"/>
      <c r="P343" s="29"/>
      <c r="Q343" s="29"/>
      <c r="R343" s="29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31"/>
    </row>
    <row r="344" spans="1:40" ht="11.25" customHeight="1"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9"/>
      <c r="P344" s="29"/>
      <c r="Q344" s="29"/>
      <c r="R344" s="29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31"/>
    </row>
    <row r="345" spans="1:40" ht="11.25" customHeight="1">
      <c r="C345" s="30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9"/>
      <c r="P345" s="29"/>
      <c r="Q345" s="29"/>
      <c r="R345" s="29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</row>
    <row r="346" spans="1:40" ht="11.25" customHeight="1">
      <c r="C346" s="30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9"/>
      <c r="P346" s="29"/>
      <c r="Q346" s="29"/>
      <c r="R346" s="29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</row>
    <row r="347" spans="1:40" ht="11.25" customHeight="1">
      <c r="C347" s="30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9"/>
      <c r="P347" s="29"/>
      <c r="Q347" s="29"/>
      <c r="R347" s="29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</row>
    <row r="348" spans="1:40" ht="11.25" customHeight="1">
      <c r="D348" s="28"/>
      <c r="E348" s="28"/>
      <c r="F348" s="28"/>
      <c r="G348" s="28"/>
      <c r="H348" s="28"/>
      <c r="I348" s="28"/>
    </row>
    <row r="349" spans="1:40" ht="11.25" customHeight="1">
      <c r="D349" s="28"/>
      <c r="E349" s="28"/>
      <c r="F349" s="28"/>
      <c r="G349" s="28"/>
      <c r="H349" s="28"/>
      <c r="I349" s="28"/>
    </row>
    <row r="350" spans="1:40" ht="11.25" customHeight="1">
      <c r="D350" s="28"/>
      <c r="E350" s="28"/>
      <c r="F350" s="28"/>
      <c r="G350" s="28"/>
      <c r="H350" s="28"/>
      <c r="I350" s="28"/>
    </row>
    <row r="351" spans="1:40" ht="11.25" customHeight="1">
      <c r="D351" s="28"/>
      <c r="E351" s="28"/>
      <c r="F351" s="28"/>
      <c r="G351" s="28"/>
      <c r="H351" s="28"/>
      <c r="I351" s="28"/>
    </row>
    <row r="352" spans="1:40" ht="11.25" customHeight="1">
      <c r="D352" s="28"/>
      <c r="E352" s="28"/>
      <c r="F352" s="28"/>
      <c r="G352" s="28"/>
      <c r="H352" s="28"/>
      <c r="I352" s="28"/>
    </row>
    <row r="353" spans="4:9" s="25" customFormat="1" ht="11.25" customHeight="1">
      <c r="D353" s="28"/>
      <c r="E353" s="28"/>
      <c r="F353" s="28"/>
      <c r="G353" s="28"/>
      <c r="H353" s="28"/>
      <c r="I353" s="28"/>
    </row>
    <row r="354" spans="4:9" s="25" customFormat="1" ht="11.25" customHeight="1">
      <c r="D354" s="28"/>
      <c r="E354" s="28"/>
      <c r="F354" s="28"/>
      <c r="G354" s="28"/>
      <c r="H354" s="28"/>
      <c r="I354" s="28"/>
    </row>
    <row r="355" spans="4:9" s="25" customFormat="1" ht="11.25" customHeight="1">
      <c r="D355" s="28"/>
      <c r="E355" s="28"/>
      <c r="F355" s="28"/>
      <c r="G355" s="28"/>
      <c r="H355" s="28"/>
      <c r="I355" s="28"/>
    </row>
    <row r="356" spans="4:9" s="25" customFormat="1" ht="11.25" customHeight="1">
      <c r="D356" s="28"/>
      <c r="E356" s="28"/>
      <c r="F356" s="28"/>
      <c r="G356" s="28"/>
      <c r="H356" s="28"/>
      <c r="I356" s="28"/>
    </row>
    <row r="357" spans="4:9" s="25" customFormat="1" ht="11.25" customHeight="1">
      <c r="D357" s="28"/>
      <c r="E357" s="28"/>
      <c r="F357" s="28"/>
      <c r="G357" s="28"/>
      <c r="H357" s="28"/>
      <c r="I357" s="28"/>
    </row>
    <row r="358" spans="4:9" s="25" customFormat="1" ht="11.25" customHeight="1">
      <c r="D358" s="28"/>
      <c r="E358" s="28"/>
      <c r="F358" s="28"/>
      <c r="G358" s="28"/>
      <c r="H358" s="28"/>
      <c r="I358" s="28"/>
    </row>
    <row r="359" spans="4:9" s="25" customFormat="1" ht="11.25" customHeight="1">
      <c r="D359" s="28"/>
      <c r="E359" s="28"/>
      <c r="F359" s="28"/>
      <c r="G359" s="28"/>
      <c r="H359" s="28"/>
      <c r="I359" s="28"/>
    </row>
    <row r="360" spans="4:9" s="25" customFormat="1" ht="11.25" customHeight="1">
      <c r="D360" s="28"/>
      <c r="E360" s="28"/>
      <c r="F360" s="28"/>
      <c r="G360" s="28"/>
      <c r="H360" s="28"/>
      <c r="I360" s="28"/>
    </row>
    <row r="361" spans="4:9" s="25" customFormat="1" ht="11.25" customHeight="1">
      <c r="D361" s="28"/>
      <c r="E361" s="28"/>
      <c r="F361" s="28"/>
      <c r="G361" s="28"/>
      <c r="H361" s="28"/>
      <c r="I361" s="28"/>
    </row>
    <row r="362" spans="4:9" s="25" customFormat="1" ht="11.25" customHeight="1">
      <c r="D362" s="28"/>
      <c r="E362" s="28"/>
      <c r="F362" s="28"/>
      <c r="G362" s="28"/>
      <c r="H362" s="28"/>
      <c r="I362" s="28"/>
    </row>
    <row r="363" spans="4:9" s="25" customFormat="1" ht="11.25" customHeight="1">
      <c r="D363" s="28"/>
      <c r="E363" s="28"/>
      <c r="F363" s="28"/>
      <c r="G363" s="28"/>
      <c r="H363" s="28"/>
      <c r="I363" s="28"/>
    </row>
    <row r="364" spans="4:9" s="25" customFormat="1" ht="11.25" customHeight="1">
      <c r="D364" s="28"/>
      <c r="E364" s="28"/>
      <c r="F364" s="28"/>
      <c r="G364" s="28"/>
      <c r="H364" s="28"/>
      <c r="I364" s="28"/>
    </row>
    <row r="365" spans="4:9" s="25" customFormat="1" ht="11.25" customHeight="1">
      <c r="D365" s="28"/>
      <c r="E365" s="28"/>
      <c r="F365" s="28"/>
      <c r="G365" s="28"/>
      <c r="H365" s="28"/>
      <c r="I365" s="28"/>
    </row>
    <row r="366" spans="4:9" s="25" customFormat="1" ht="11.25" customHeight="1">
      <c r="D366" s="28"/>
      <c r="E366" s="28"/>
      <c r="F366" s="28"/>
      <c r="G366" s="28"/>
      <c r="H366" s="28"/>
      <c r="I366" s="28"/>
    </row>
    <row r="367" spans="4:9" s="25" customFormat="1" ht="11.25" customHeight="1">
      <c r="D367" s="28"/>
      <c r="E367" s="28"/>
      <c r="F367" s="28"/>
      <c r="G367" s="28"/>
      <c r="H367" s="28"/>
      <c r="I367" s="28"/>
    </row>
    <row r="368" spans="4:9" s="25" customFormat="1" ht="11.25" customHeight="1">
      <c r="D368" s="28"/>
      <c r="E368" s="28"/>
      <c r="F368" s="28"/>
      <c r="G368" s="28"/>
      <c r="H368" s="28"/>
      <c r="I368" s="28"/>
    </row>
    <row r="369" spans="4:9" s="25" customFormat="1" ht="11.25" customHeight="1">
      <c r="D369" s="28"/>
      <c r="E369" s="28"/>
      <c r="F369" s="28"/>
      <c r="G369" s="28"/>
      <c r="H369" s="28"/>
      <c r="I369" s="28"/>
    </row>
    <row r="370" spans="4:9" s="25" customFormat="1" ht="11.25" customHeight="1">
      <c r="D370" s="28"/>
      <c r="E370" s="28"/>
      <c r="F370" s="28"/>
      <c r="G370" s="28"/>
      <c r="H370" s="28"/>
      <c r="I370" s="28"/>
    </row>
    <row r="371" spans="4:9" s="25" customFormat="1" ht="11.25" customHeight="1">
      <c r="D371" s="28"/>
      <c r="E371" s="28"/>
      <c r="F371" s="28"/>
      <c r="G371" s="28"/>
      <c r="H371" s="28"/>
      <c r="I371" s="28"/>
    </row>
    <row r="372" spans="4:9" s="25" customFormat="1" ht="11.25" customHeight="1">
      <c r="D372" s="28"/>
      <c r="E372" s="28"/>
      <c r="F372" s="28"/>
      <c r="G372" s="28"/>
      <c r="H372" s="28"/>
      <c r="I372" s="28"/>
    </row>
    <row r="373" spans="4:9" s="25" customFormat="1" ht="11.25" customHeight="1">
      <c r="D373" s="28"/>
      <c r="E373" s="28"/>
      <c r="F373" s="28"/>
      <c r="G373" s="28"/>
      <c r="H373" s="28"/>
      <c r="I373" s="28"/>
    </row>
    <row r="374" spans="4:9" s="25" customFormat="1" ht="11.25" customHeight="1">
      <c r="D374" s="28"/>
      <c r="E374" s="28"/>
      <c r="F374" s="28"/>
      <c r="G374" s="28"/>
      <c r="H374" s="28"/>
      <c r="I374" s="28"/>
    </row>
    <row r="375" spans="4:9" s="25" customFormat="1" ht="11.25" customHeight="1">
      <c r="D375" s="28"/>
      <c r="E375" s="28"/>
      <c r="F375" s="28"/>
      <c r="G375" s="28"/>
      <c r="H375" s="28"/>
      <c r="I375" s="28"/>
    </row>
    <row r="376" spans="4:9" s="25" customFormat="1" ht="11.25" customHeight="1">
      <c r="D376" s="28"/>
      <c r="E376" s="28"/>
      <c r="F376" s="28"/>
      <c r="G376" s="28"/>
      <c r="H376" s="28"/>
      <c r="I376" s="28"/>
    </row>
    <row r="377" spans="4:9" s="25" customFormat="1" ht="11.25" customHeight="1">
      <c r="D377" s="28"/>
      <c r="E377" s="28"/>
      <c r="F377" s="28"/>
      <c r="G377" s="28"/>
      <c r="H377" s="28"/>
      <c r="I377" s="28"/>
    </row>
    <row r="378" spans="4:9" s="25" customFormat="1" ht="11.25" customHeight="1">
      <c r="D378" s="28"/>
      <c r="E378" s="28"/>
      <c r="F378" s="28"/>
      <c r="G378" s="28"/>
      <c r="H378" s="28"/>
      <c r="I378" s="28"/>
    </row>
    <row r="379" spans="4:9" s="25" customFormat="1" ht="11.25" customHeight="1">
      <c r="D379" s="28"/>
      <c r="E379" s="28"/>
      <c r="F379" s="28"/>
      <c r="G379" s="28"/>
      <c r="H379" s="28"/>
      <c r="I379" s="28"/>
    </row>
    <row r="380" spans="4:9" s="25" customFormat="1" ht="11.25" customHeight="1">
      <c r="D380" s="28"/>
      <c r="E380" s="28"/>
      <c r="F380" s="28"/>
      <c r="G380" s="28"/>
      <c r="H380" s="28"/>
    </row>
    <row r="381" spans="4:9" s="25" customFormat="1" ht="11.25" customHeight="1">
      <c r="D381" s="28"/>
      <c r="E381" s="28"/>
      <c r="F381" s="28"/>
      <c r="G381" s="28"/>
      <c r="H381" s="28"/>
    </row>
    <row r="382" spans="4:9" s="25" customFormat="1" ht="11.25" customHeight="1">
      <c r="D382" s="28"/>
      <c r="E382" s="28"/>
      <c r="F382" s="28"/>
      <c r="G382" s="28"/>
      <c r="H382" s="28"/>
    </row>
    <row r="383" spans="4:9" s="25" customFormat="1" ht="11.25" customHeight="1">
      <c r="D383" s="28"/>
      <c r="E383" s="28"/>
      <c r="F383" s="28"/>
      <c r="G383" s="28"/>
      <c r="H383" s="28"/>
    </row>
    <row r="384" spans="4:9" s="25" customFormat="1" ht="11.25" customHeight="1">
      <c r="D384" s="28"/>
      <c r="E384" s="28"/>
      <c r="F384" s="28"/>
      <c r="G384" s="28"/>
      <c r="H384" s="28"/>
    </row>
    <row r="385" spans="4:8" s="25" customFormat="1" ht="11.25" customHeight="1">
      <c r="D385" s="28"/>
      <c r="E385" s="28"/>
      <c r="F385" s="28"/>
      <c r="G385" s="28"/>
      <c r="H385" s="28"/>
    </row>
    <row r="386" spans="4:8" s="25" customFormat="1" ht="11.25" customHeight="1">
      <c r="D386" s="28"/>
      <c r="E386" s="28"/>
      <c r="F386" s="28"/>
      <c r="G386" s="28"/>
      <c r="H386" s="28"/>
    </row>
    <row r="387" spans="4:8" s="25" customFormat="1" ht="11.25" customHeight="1">
      <c r="D387" s="28"/>
      <c r="E387" s="28"/>
      <c r="F387" s="28"/>
      <c r="G387" s="28"/>
      <c r="H387" s="28"/>
    </row>
    <row r="388" spans="4:8" s="25" customFormat="1" ht="11.25" customHeight="1">
      <c r="D388" s="28"/>
      <c r="E388" s="28"/>
      <c r="F388" s="28"/>
      <c r="G388" s="28"/>
      <c r="H388" s="28"/>
    </row>
    <row r="389" spans="4:8" s="25" customFormat="1" ht="11.25" customHeight="1">
      <c r="D389" s="28"/>
      <c r="E389" s="28"/>
      <c r="F389" s="28"/>
      <c r="G389" s="28"/>
      <c r="H389" s="28"/>
    </row>
    <row r="390" spans="4:8" s="25" customFormat="1" ht="11.25" customHeight="1">
      <c r="D390" s="28"/>
      <c r="E390" s="28"/>
      <c r="F390" s="28"/>
      <c r="G390" s="28"/>
      <c r="H390" s="28"/>
    </row>
    <row r="391" spans="4:8" s="25" customFormat="1" ht="11.25" customHeight="1">
      <c r="D391" s="28"/>
      <c r="E391" s="28"/>
      <c r="F391" s="28"/>
      <c r="G391" s="28"/>
      <c r="H391" s="28"/>
    </row>
    <row r="392" spans="4:8" s="25" customFormat="1" ht="11.25" customHeight="1">
      <c r="D392" s="28"/>
      <c r="E392" s="28"/>
      <c r="F392" s="28"/>
      <c r="G392" s="28"/>
      <c r="H392" s="28"/>
    </row>
    <row r="393" spans="4:8" s="25" customFormat="1" ht="11.25" customHeight="1">
      <c r="D393" s="28"/>
      <c r="E393" s="28"/>
      <c r="F393" s="28"/>
      <c r="G393" s="28"/>
      <c r="H393" s="28"/>
    </row>
    <row r="394" spans="4:8" s="25" customFormat="1" ht="11.25" customHeight="1">
      <c r="D394" s="28"/>
      <c r="E394" s="28"/>
      <c r="F394" s="28"/>
      <c r="G394" s="28"/>
      <c r="H394" s="28"/>
    </row>
    <row r="395" spans="4:8" s="25" customFormat="1" ht="11.25" customHeight="1">
      <c r="D395" s="28"/>
      <c r="E395" s="28"/>
      <c r="F395" s="28"/>
      <c r="G395" s="28"/>
      <c r="H395" s="28"/>
    </row>
    <row r="396" spans="4:8" s="25" customFormat="1" ht="11.25" customHeight="1">
      <c r="D396" s="28"/>
      <c r="E396" s="28"/>
      <c r="F396" s="28"/>
      <c r="G396" s="28"/>
      <c r="H396" s="28"/>
    </row>
    <row r="397" spans="4:8" s="25" customFormat="1" ht="11.25" customHeight="1">
      <c r="D397" s="28"/>
      <c r="E397" s="28"/>
      <c r="F397" s="28"/>
      <c r="G397" s="28"/>
      <c r="H397" s="28"/>
    </row>
    <row r="398" spans="4:8" s="25" customFormat="1" ht="11.25" customHeight="1">
      <c r="D398" s="28"/>
      <c r="E398" s="28"/>
      <c r="F398" s="28"/>
      <c r="G398" s="28"/>
      <c r="H398" s="28"/>
    </row>
    <row r="399" spans="4:8" s="25" customFormat="1" ht="11.25" customHeight="1">
      <c r="D399" s="28"/>
      <c r="E399" s="28"/>
      <c r="F399" s="28"/>
      <c r="G399" s="28"/>
      <c r="H399" s="28"/>
    </row>
    <row r="400" spans="4:8" s="25" customFormat="1" ht="11.25" customHeight="1">
      <c r="D400" s="28"/>
      <c r="E400" s="28"/>
      <c r="F400" s="28"/>
      <c r="G400" s="28"/>
      <c r="H400" s="28"/>
    </row>
    <row r="401" spans="4:8" s="25" customFormat="1" ht="11.25" customHeight="1">
      <c r="D401" s="28"/>
      <c r="E401" s="28"/>
      <c r="F401" s="28"/>
      <c r="G401" s="28"/>
      <c r="H401" s="28"/>
    </row>
    <row r="402" spans="4:8" s="25" customFormat="1" ht="11.25" customHeight="1">
      <c r="D402" s="28"/>
      <c r="E402" s="28"/>
      <c r="F402" s="28"/>
      <c r="G402" s="28"/>
      <c r="H402" s="28"/>
    </row>
    <row r="403" spans="4:8" s="25" customFormat="1" ht="11.25" customHeight="1">
      <c r="D403" s="28"/>
      <c r="E403" s="28"/>
      <c r="F403" s="28"/>
      <c r="G403" s="28"/>
      <c r="H403" s="28"/>
    </row>
    <row r="404" spans="4:8" s="25" customFormat="1" ht="11.25" customHeight="1">
      <c r="D404" s="28"/>
      <c r="E404" s="28"/>
      <c r="F404" s="28"/>
      <c r="G404" s="28"/>
      <c r="H404" s="28"/>
    </row>
    <row r="405" spans="4:8" s="25" customFormat="1" ht="11.25" customHeight="1">
      <c r="D405" s="28"/>
      <c r="E405" s="28"/>
      <c r="F405" s="28"/>
      <c r="G405" s="28"/>
      <c r="H405" s="28"/>
    </row>
    <row r="406" spans="4:8" s="25" customFormat="1" ht="11.25" customHeight="1">
      <c r="D406" s="28"/>
      <c r="E406" s="28"/>
      <c r="F406" s="28"/>
      <c r="G406" s="28"/>
      <c r="H406" s="28"/>
    </row>
    <row r="407" spans="4:8" s="25" customFormat="1" ht="11.25" customHeight="1">
      <c r="D407" s="28"/>
      <c r="E407" s="28"/>
      <c r="F407" s="28"/>
      <c r="G407" s="28"/>
      <c r="H407" s="28"/>
    </row>
    <row r="408" spans="4:8" s="25" customFormat="1" ht="11.25" customHeight="1">
      <c r="D408" s="28"/>
      <c r="E408" s="28"/>
      <c r="F408" s="28"/>
      <c r="G408" s="28"/>
      <c r="H408" s="28"/>
    </row>
    <row r="409" spans="4:8" s="25" customFormat="1" ht="11.25" customHeight="1">
      <c r="D409" s="28"/>
      <c r="E409" s="28"/>
      <c r="F409" s="28"/>
      <c r="G409" s="28"/>
      <c r="H409" s="28"/>
    </row>
    <row r="410" spans="4:8" s="25" customFormat="1" ht="11.25" customHeight="1">
      <c r="D410" s="28"/>
      <c r="E410" s="28"/>
      <c r="F410" s="28"/>
      <c r="G410" s="28"/>
      <c r="H410" s="28"/>
    </row>
    <row r="411" spans="4:8" s="25" customFormat="1" ht="11.25" customHeight="1">
      <c r="D411" s="28"/>
      <c r="E411" s="28"/>
      <c r="F411" s="28"/>
      <c r="G411" s="28"/>
      <c r="H411" s="28"/>
    </row>
    <row r="412" spans="4:8" s="25" customFormat="1" ht="11.25" customHeight="1">
      <c r="D412" s="28"/>
      <c r="E412" s="28"/>
      <c r="F412" s="28"/>
      <c r="G412" s="28"/>
      <c r="H412" s="28"/>
    </row>
    <row r="413" spans="4:8" s="25" customFormat="1" ht="11.25" customHeight="1">
      <c r="D413" s="28"/>
      <c r="E413" s="28"/>
      <c r="F413" s="28"/>
      <c r="G413" s="28"/>
      <c r="H413" s="28"/>
    </row>
    <row r="414" spans="4:8" s="25" customFormat="1" ht="11.25" customHeight="1">
      <c r="D414" s="28"/>
      <c r="E414" s="28"/>
      <c r="F414" s="28"/>
      <c r="G414" s="28"/>
      <c r="H414" s="28"/>
    </row>
    <row r="415" spans="4:8" s="25" customFormat="1" ht="11.25" customHeight="1">
      <c r="D415" s="28"/>
      <c r="E415" s="28"/>
      <c r="F415" s="28"/>
      <c r="G415" s="28"/>
      <c r="H415" s="28"/>
    </row>
    <row r="416" spans="4:8" s="25" customFormat="1" ht="11.25" customHeight="1">
      <c r="D416" s="28"/>
      <c r="E416" s="28"/>
      <c r="F416" s="28"/>
      <c r="G416" s="28"/>
      <c r="H416" s="28"/>
    </row>
    <row r="417" spans="4:8" s="25" customFormat="1" ht="11.25" customHeight="1">
      <c r="D417" s="28"/>
      <c r="E417" s="28"/>
      <c r="F417" s="28"/>
      <c r="G417" s="28"/>
      <c r="H417" s="28"/>
    </row>
    <row r="418" spans="4:8" s="25" customFormat="1" ht="11.25" customHeight="1">
      <c r="D418" s="28"/>
      <c r="E418" s="28"/>
      <c r="F418" s="28"/>
      <c r="G418" s="28"/>
      <c r="H418" s="28"/>
    </row>
    <row r="419" spans="4:8" s="25" customFormat="1" ht="11.25" customHeight="1">
      <c r="D419" s="28"/>
      <c r="E419" s="28"/>
      <c r="F419" s="28"/>
      <c r="G419" s="28"/>
      <c r="H419" s="28"/>
    </row>
    <row r="420" spans="4:8" s="25" customFormat="1" ht="11.25" customHeight="1">
      <c r="D420" s="28"/>
      <c r="E420" s="28"/>
      <c r="F420" s="28"/>
      <c r="G420" s="28"/>
      <c r="H420" s="28"/>
    </row>
    <row r="421" spans="4:8" s="25" customFormat="1" ht="11.25" customHeight="1">
      <c r="D421" s="28"/>
      <c r="E421" s="28"/>
      <c r="F421" s="28"/>
      <c r="G421" s="28"/>
      <c r="H421" s="28"/>
    </row>
    <row r="422" spans="4:8" s="25" customFormat="1" ht="11.25" customHeight="1">
      <c r="D422" s="28"/>
      <c r="E422" s="28"/>
      <c r="F422" s="28"/>
      <c r="G422" s="28"/>
      <c r="H422" s="28"/>
    </row>
    <row r="423" spans="4:8" s="25" customFormat="1" ht="11.25" customHeight="1">
      <c r="D423" s="28"/>
      <c r="E423" s="28"/>
      <c r="F423" s="28"/>
      <c r="G423" s="28"/>
      <c r="H423" s="28"/>
    </row>
    <row r="424" spans="4:8" s="25" customFormat="1" ht="11.25" customHeight="1">
      <c r="D424" s="28"/>
      <c r="E424" s="28"/>
      <c r="F424" s="28"/>
      <c r="G424" s="28"/>
      <c r="H424" s="28"/>
    </row>
    <row r="425" spans="4:8" s="25" customFormat="1" ht="11.25" customHeight="1">
      <c r="D425" s="28"/>
      <c r="E425" s="28"/>
      <c r="F425" s="28"/>
      <c r="G425" s="28"/>
      <c r="H425" s="28"/>
    </row>
    <row r="426" spans="4:8" s="25" customFormat="1" ht="11.25" customHeight="1">
      <c r="D426" s="28"/>
      <c r="E426" s="28"/>
      <c r="F426" s="28"/>
      <c r="G426" s="28"/>
      <c r="H426" s="28"/>
    </row>
    <row r="427" spans="4:8" s="25" customFormat="1" ht="11.25" customHeight="1">
      <c r="D427" s="28"/>
      <c r="E427" s="28"/>
      <c r="F427" s="28"/>
      <c r="G427" s="28"/>
      <c r="H427" s="28"/>
    </row>
    <row r="428" spans="4:8" s="25" customFormat="1" ht="11.25" customHeight="1">
      <c r="D428" s="28"/>
      <c r="E428" s="28"/>
      <c r="F428" s="28"/>
      <c r="G428" s="28"/>
      <c r="H428" s="28"/>
    </row>
    <row r="429" spans="4:8" s="25" customFormat="1" ht="11.25" customHeight="1">
      <c r="D429" s="28"/>
      <c r="E429" s="28"/>
      <c r="F429" s="28"/>
      <c r="G429" s="28"/>
      <c r="H429" s="28"/>
    </row>
    <row r="430" spans="4:8" s="25" customFormat="1" ht="11.25" customHeight="1">
      <c r="D430" s="28"/>
      <c r="E430" s="28"/>
      <c r="F430" s="28"/>
      <c r="G430" s="28"/>
      <c r="H430" s="28"/>
    </row>
    <row r="431" spans="4:8" s="25" customFormat="1" ht="11.25" customHeight="1">
      <c r="D431" s="28"/>
      <c r="E431" s="28"/>
      <c r="F431" s="28"/>
      <c r="G431" s="28"/>
      <c r="H431" s="28"/>
    </row>
    <row r="432" spans="4:8" s="25" customFormat="1" ht="11.25" customHeight="1">
      <c r="D432" s="28"/>
      <c r="E432" s="28"/>
      <c r="F432" s="28"/>
      <c r="G432" s="28"/>
      <c r="H432" s="28"/>
    </row>
    <row r="433" spans="4:8" s="25" customFormat="1" ht="11.25" customHeight="1">
      <c r="D433" s="28"/>
      <c r="E433" s="28"/>
      <c r="F433" s="28"/>
      <c r="G433" s="28"/>
      <c r="H433" s="28"/>
    </row>
    <row r="434" spans="4:8" s="25" customFormat="1" ht="11.25" customHeight="1">
      <c r="D434" s="28"/>
      <c r="E434" s="28"/>
      <c r="F434" s="28"/>
      <c r="G434" s="28"/>
      <c r="H434" s="28"/>
    </row>
    <row r="435" spans="4:8" s="25" customFormat="1" ht="11.25" customHeight="1">
      <c r="D435" s="28"/>
      <c r="E435" s="28"/>
      <c r="F435" s="28"/>
      <c r="G435" s="28"/>
      <c r="H435" s="28"/>
    </row>
    <row r="436" spans="4:8" s="25" customFormat="1" ht="11.25" customHeight="1">
      <c r="D436" s="28"/>
      <c r="E436" s="28"/>
      <c r="F436" s="28"/>
      <c r="G436" s="28"/>
      <c r="H436" s="28"/>
    </row>
    <row r="437" spans="4:8" s="25" customFormat="1" ht="11.25" customHeight="1">
      <c r="D437" s="28"/>
      <c r="E437" s="28"/>
      <c r="F437" s="28"/>
      <c r="G437" s="28"/>
      <c r="H437" s="28"/>
    </row>
    <row r="438" spans="4:8" s="25" customFormat="1" ht="11.25" customHeight="1">
      <c r="D438" s="28"/>
      <c r="E438" s="28"/>
      <c r="F438" s="28"/>
      <c r="G438" s="28"/>
      <c r="H438" s="28"/>
    </row>
    <row r="439" spans="4:8" s="25" customFormat="1" ht="11.25" customHeight="1">
      <c r="D439" s="28"/>
      <c r="E439" s="28"/>
      <c r="F439" s="28"/>
      <c r="G439" s="28"/>
      <c r="H439" s="28"/>
    </row>
    <row r="440" spans="4:8" s="25" customFormat="1" ht="11.25" customHeight="1">
      <c r="D440" s="28"/>
      <c r="E440" s="28"/>
      <c r="F440" s="28"/>
      <c r="G440" s="28"/>
      <c r="H440" s="28"/>
    </row>
    <row r="441" spans="4:8" s="25" customFormat="1" ht="11.25" customHeight="1">
      <c r="D441" s="28"/>
      <c r="E441" s="28"/>
      <c r="F441" s="28"/>
      <c r="G441" s="28"/>
      <c r="H441" s="28"/>
    </row>
    <row r="442" spans="4:8" s="25" customFormat="1" ht="11.25" customHeight="1">
      <c r="D442" s="28"/>
      <c r="E442" s="28"/>
      <c r="F442" s="28"/>
      <c r="G442" s="28"/>
      <c r="H442" s="28"/>
    </row>
    <row r="443" spans="4:8" s="25" customFormat="1" ht="11.25" customHeight="1">
      <c r="D443" s="28"/>
      <c r="E443" s="28"/>
      <c r="F443" s="28"/>
      <c r="G443" s="28"/>
      <c r="H443" s="28"/>
    </row>
    <row r="444" spans="4:8" s="25" customFormat="1" ht="11.25" customHeight="1">
      <c r="D444" s="28"/>
      <c r="E444" s="28"/>
      <c r="F444" s="28"/>
      <c r="G444" s="28"/>
      <c r="H444" s="28"/>
    </row>
    <row r="445" spans="4:8" s="25" customFormat="1" ht="11.25" customHeight="1">
      <c r="D445" s="28"/>
      <c r="E445" s="28"/>
      <c r="F445" s="28"/>
      <c r="G445" s="28"/>
      <c r="H445" s="28"/>
    </row>
    <row r="446" spans="4:8" s="25" customFormat="1" ht="11.25" customHeight="1">
      <c r="D446" s="28"/>
      <c r="E446" s="28"/>
      <c r="F446" s="28"/>
      <c r="G446" s="28"/>
      <c r="H446" s="28"/>
    </row>
    <row r="447" spans="4:8" s="25" customFormat="1" ht="11.25" customHeight="1">
      <c r="D447" s="28"/>
      <c r="E447" s="28"/>
      <c r="F447" s="28"/>
      <c r="G447" s="28"/>
      <c r="H447" s="28"/>
    </row>
    <row r="448" spans="4:8" s="25" customFormat="1" ht="11.25" customHeight="1">
      <c r="D448" s="28"/>
      <c r="E448" s="28"/>
      <c r="F448" s="28"/>
      <c r="G448" s="28"/>
      <c r="H448" s="28"/>
    </row>
    <row r="449" spans="4:8" s="25" customFormat="1" ht="11.25" customHeight="1">
      <c r="D449" s="28"/>
      <c r="E449" s="28"/>
      <c r="F449" s="28"/>
      <c r="G449" s="28"/>
      <c r="H449" s="28"/>
    </row>
    <row r="450" spans="4:8" s="25" customFormat="1" ht="11.25" customHeight="1">
      <c r="D450" s="28"/>
      <c r="E450" s="28"/>
      <c r="F450" s="28"/>
      <c r="G450" s="28"/>
      <c r="H450" s="28"/>
    </row>
    <row r="451" spans="4:8" s="25" customFormat="1" ht="11.25" customHeight="1">
      <c r="D451" s="28"/>
      <c r="E451" s="28"/>
      <c r="F451" s="28"/>
      <c r="G451" s="28"/>
      <c r="H451" s="28"/>
    </row>
    <row r="452" spans="4:8" s="25" customFormat="1" ht="11.25" customHeight="1">
      <c r="D452" s="28"/>
      <c r="E452" s="28"/>
      <c r="F452" s="28"/>
      <c r="G452" s="28"/>
      <c r="H452" s="28"/>
    </row>
    <row r="453" spans="4:8" s="25" customFormat="1" ht="11.25" customHeight="1">
      <c r="D453" s="28"/>
      <c r="E453" s="28"/>
      <c r="F453" s="28"/>
      <c r="G453" s="28"/>
      <c r="H453" s="28"/>
    </row>
    <row r="454" spans="4:8" s="25" customFormat="1" ht="11.25" customHeight="1">
      <c r="D454" s="28"/>
      <c r="E454" s="28"/>
      <c r="F454" s="28"/>
      <c r="G454" s="28"/>
      <c r="H454" s="28"/>
    </row>
    <row r="455" spans="4:8" s="25" customFormat="1" ht="11.25" customHeight="1">
      <c r="D455" s="28"/>
      <c r="E455" s="28"/>
      <c r="F455" s="28"/>
      <c r="G455" s="28"/>
      <c r="H455" s="28"/>
    </row>
    <row r="456" spans="4:8" s="25" customFormat="1" ht="11.25" customHeight="1">
      <c r="D456" s="28"/>
      <c r="E456" s="28"/>
      <c r="F456" s="28"/>
      <c r="G456" s="28"/>
      <c r="H456" s="28"/>
    </row>
    <row r="457" spans="4:8" s="25" customFormat="1" ht="11.25" customHeight="1">
      <c r="D457" s="28"/>
      <c r="E457" s="28"/>
      <c r="F457" s="28"/>
      <c r="G457" s="28"/>
      <c r="H457" s="28"/>
    </row>
    <row r="458" spans="4:8" s="25" customFormat="1" ht="11.25" customHeight="1">
      <c r="D458" s="28"/>
      <c r="E458" s="28"/>
      <c r="F458" s="28"/>
      <c r="G458" s="28"/>
      <c r="H458" s="28"/>
    </row>
    <row r="459" spans="4:8" s="25" customFormat="1" ht="11.25" customHeight="1">
      <c r="D459" s="28"/>
      <c r="E459" s="28"/>
      <c r="F459" s="28"/>
      <c r="G459" s="28"/>
      <c r="H459" s="28"/>
    </row>
    <row r="460" spans="4:8" s="25" customFormat="1" ht="11.25" customHeight="1">
      <c r="D460" s="28"/>
      <c r="E460" s="28"/>
      <c r="F460" s="28"/>
      <c r="G460" s="28"/>
      <c r="H460" s="28"/>
    </row>
    <row r="461" spans="4:8" s="25" customFormat="1" ht="11.25" customHeight="1">
      <c r="D461" s="28"/>
      <c r="E461" s="28"/>
      <c r="F461" s="28"/>
      <c r="G461" s="28"/>
      <c r="H461" s="28"/>
    </row>
    <row r="462" spans="4:8" s="25" customFormat="1" ht="11.25" customHeight="1">
      <c r="D462" s="28"/>
      <c r="E462" s="28"/>
      <c r="F462" s="28"/>
      <c r="G462" s="28"/>
      <c r="H462" s="28"/>
    </row>
    <row r="463" spans="4:8" s="25" customFormat="1" ht="11.25" customHeight="1">
      <c r="D463" s="28"/>
      <c r="E463" s="28"/>
      <c r="F463" s="28"/>
      <c r="G463" s="28"/>
      <c r="H463" s="28"/>
    </row>
    <row r="464" spans="4:8" s="25" customFormat="1" ht="11.25" customHeight="1">
      <c r="D464" s="28"/>
      <c r="E464" s="28"/>
      <c r="F464" s="28"/>
      <c r="G464" s="28"/>
      <c r="H464" s="28"/>
    </row>
    <row r="465" spans="4:8" s="25" customFormat="1" ht="11.25" customHeight="1">
      <c r="D465" s="28"/>
      <c r="E465" s="28"/>
      <c r="F465" s="28"/>
      <c r="G465" s="28"/>
      <c r="H465" s="28"/>
    </row>
    <row r="466" spans="4:8" s="25" customFormat="1" ht="11.25" customHeight="1">
      <c r="D466" s="28"/>
      <c r="E466" s="28"/>
      <c r="F466" s="28"/>
      <c r="G466" s="28"/>
      <c r="H466" s="28"/>
    </row>
    <row r="467" spans="4:8" s="25" customFormat="1" ht="11.25" customHeight="1">
      <c r="D467" s="28"/>
      <c r="E467" s="28"/>
      <c r="F467" s="28"/>
      <c r="G467" s="28"/>
      <c r="H467" s="28"/>
    </row>
    <row r="468" spans="4:8" s="25" customFormat="1" ht="11.25" customHeight="1">
      <c r="D468" s="28"/>
      <c r="E468" s="28"/>
      <c r="F468" s="28"/>
      <c r="G468" s="28"/>
      <c r="H468" s="28"/>
    </row>
    <row r="469" spans="4:8" s="25" customFormat="1" ht="11.25" customHeight="1">
      <c r="D469" s="28"/>
      <c r="E469" s="28"/>
      <c r="F469" s="28"/>
      <c r="G469" s="28"/>
      <c r="H469" s="28"/>
    </row>
    <row r="470" spans="4:8" s="25" customFormat="1" ht="11.25" customHeight="1">
      <c r="D470" s="28"/>
      <c r="E470" s="28"/>
      <c r="F470" s="28"/>
      <c r="G470" s="28"/>
      <c r="H470" s="28"/>
    </row>
    <row r="471" spans="4:8" s="25" customFormat="1" ht="11.25" customHeight="1">
      <c r="D471" s="28"/>
      <c r="E471" s="28"/>
      <c r="F471" s="28"/>
      <c r="G471" s="28"/>
      <c r="H471" s="28"/>
    </row>
    <row r="472" spans="4:8" s="25" customFormat="1" ht="11.25" customHeight="1">
      <c r="D472" s="28"/>
      <c r="E472" s="28"/>
      <c r="F472" s="28"/>
      <c r="G472" s="28"/>
      <c r="H472" s="28"/>
    </row>
    <row r="473" spans="4:8" s="25" customFormat="1" ht="11.25" customHeight="1">
      <c r="D473" s="28"/>
      <c r="E473" s="28"/>
      <c r="F473" s="28"/>
      <c r="G473" s="28"/>
      <c r="H473" s="28"/>
    </row>
    <row r="474" spans="4:8" s="25" customFormat="1" ht="11.25" customHeight="1">
      <c r="D474" s="28"/>
      <c r="E474" s="28"/>
      <c r="F474" s="28"/>
      <c r="G474" s="28"/>
      <c r="H474" s="28"/>
    </row>
    <row r="475" spans="4:8" s="25" customFormat="1" ht="11.25" customHeight="1">
      <c r="D475" s="28"/>
      <c r="E475" s="28"/>
      <c r="F475" s="28"/>
      <c r="G475" s="28"/>
      <c r="H475" s="28"/>
    </row>
    <row r="476" spans="4:8" s="25" customFormat="1" ht="11.25" customHeight="1">
      <c r="D476" s="28"/>
      <c r="E476" s="28"/>
      <c r="F476" s="28"/>
      <c r="G476" s="28"/>
      <c r="H476" s="28"/>
    </row>
    <row r="477" spans="4:8" s="25" customFormat="1" ht="11.25" customHeight="1">
      <c r="D477" s="28"/>
      <c r="E477" s="28"/>
      <c r="F477" s="28"/>
      <c r="G477" s="28"/>
      <c r="H477" s="28"/>
    </row>
    <row r="478" spans="4:8" s="25" customFormat="1" ht="11.25" customHeight="1">
      <c r="D478" s="28"/>
      <c r="E478" s="28"/>
      <c r="F478" s="28"/>
      <c r="G478" s="28"/>
      <c r="H478" s="28"/>
    </row>
    <row r="479" spans="4:8" s="25" customFormat="1" ht="11.25" customHeight="1">
      <c r="D479" s="28"/>
      <c r="E479" s="28"/>
      <c r="F479" s="28"/>
      <c r="G479" s="28"/>
      <c r="H479" s="28"/>
    </row>
    <row r="480" spans="4:8" s="25" customFormat="1" ht="11.25" customHeight="1">
      <c r="D480" s="28"/>
      <c r="E480" s="28"/>
      <c r="F480" s="28"/>
      <c r="G480" s="28"/>
      <c r="H480" s="28"/>
    </row>
    <row r="481" spans="4:8" s="25" customFormat="1" ht="11.25" customHeight="1">
      <c r="D481" s="28"/>
      <c r="E481" s="28"/>
      <c r="F481" s="28"/>
      <c r="G481" s="28"/>
      <c r="H481" s="28"/>
    </row>
    <row r="482" spans="4:8" s="25" customFormat="1" ht="11.25" customHeight="1">
      <c r="D482" s="28"/>
      <c r="E482" s="28"/>
      <c r="F482" s="28"/>
      <c r="G482" s="28"/>
      <c r="H482" s="28"/>
    </row>
    <row r="483" spans="4:8" s="25" customFormat="1" ht="11.25" customHeight="1">
      <c r="D483" s="28"/>
      <c r="E483" s="28"/>
      <c r="F483" s="28"/>
      <c r="G483" s="28"/>
      <c r="H483" s="28"/>
    </row>
    <row r="484" spans="4:8" s="25" customFormat="1" ht="11.25" customHeight="1">
      <c r="D484" s="28"/>
      <c r="E484" s="28"/>
      <c r="F484" s="28"/>
      <c r="G484" s="28"/>
      <c r="H484" s="28"/>
    </row>
    <row r="485" spans="4:8" s="25" customFormat="1" ht="11.25" customHeight="1">
      <c r="D485" s="28"/>
      <c r="E485" s="28"/>
      <c r="F485" s="28"/>
      <c r="G485" s="28"/>
      <c r="H485" s="28"/>
    </row>
    <row r="486" spans="4:8" s="25" customFormat="1" ht="11.25" customHeight="1">
      <c r="D486" s="28"/>
      <c r="E486" s="28"/>
      <c r="F486" s="28"/>
      <c r="G486" s="28"/>
      <c r="H486" s="28"/>
    </row>
    <row r="487" spans="4:8" s="25" customFormat="1" ht="11.25" customHeight="1">
      <c r="D487" s="28"/>
      <c r="E487" s="28"/>
      <c r="F487" s="28"/>
      <c r="G487" s="28"/>
      <c r="H487" s="28"/>
    </row>
    <row r="488" spans="4:8" s="25" customFormat="1" ht="11.25" customHeight="1">
      <c r="D488" s="28"/>
      <c r="E488" s="28"/>
      <c r="F488" s="28"/>
      <c r="G488" s="28"/>
      <c r="H488" s="28"/>
    </row>
    <row r="489" spans="4:8" s="25" customFormat="1" ht="11.25" customHeight="1">
      <c r="D489" s="28"/>
      <c r="E489" s="28"/>
      <c r="F489" s="28"/>
      <c r="G489" s="28"/>
      <c r="H489" s="28"/>
    </row>
    <row r="490" spans="4:8" s="25" customFormat="1" ht="11.25" customHeight="1">
      <c r="D490" s="28"/>
      <c r="E490" s="28"/>
      <c r="F490" s="28"/>
      <c r="G490" s="28"/>
      <c r="H490" s="28"/>
    </row>
    <row r="491" spans="4:8" s="25" customFormat="1" ht="11.25" customHeight="1">
      <c r="D491" s="28"/>
      <c r="E491" s="28"/>
      <c r="F491" s="28"/>
      <c r="G491" s="28"/>
      <c r="H491" s="28"/>
    </row>
    <row r="492" spans="4:8" s="25" customFormat="1" ht="11.25" customHeight="1">
      <c r="D492" s="28"/>
      <c r="E492" s="28"/>
      <c r="F492" s="28"/>
      <c r="G492" s="28"/>
      <c r="H492" s="28"/>
    </row>
    <row r="493" spans="4:8" s="25" customFormat="1" ht="11.25" customHeight="1">
      <c r="D493" s="28"/>
      <c r="E493" s="28"/>
      <c r="F493" s="28"/>
      <c r="G493" s="28"/>
      <c r="H493" s="28"/>
    </row>
    <row r="494" spans="4:8" s="25" customFormat="1" ht="11.25" customHeight="1">
      <c r="D494" s="28"/>
      <c r="E494" s="28"/>
      <c r="F494" s="28"/>
      <c r="G494" s="28"/>
      <c r="H494" s="28"/>
    </row>
    <row r="495" spans="4:8" s="25" customFormat="1" ht="11.25" customHeight="1">
      <c r="D495" s="28"/>
      <c r="E495" s="28"/>
      <c r="F495" s="28"/>
      <c r="G495" s="28"/>
      <c r="H495" s="28"/>
    </row>
    <row r="496" spans="4:8" s="25" customFormat="1" ht="11.25" customHeight="1">
      <c r="D496" s="28"/>
      <c r="E496" s="28"/>
      <c r="F496" s="28"/>
      <c r="G496" s="28"/>
      <c r="H496" s="28"/>
    </row>
    <row r="497" spans="4:8" s="25" customFormat="1" ht="11.25" customHeight="1">
      <c r="D497" s="28"/>
      <c r="E497" s="28"/>
      <c r="F497" s="28"/>
      <c r="G497" s="28"/>
      <c r="H497" s="28"/>
    </row>
    <row r="498" spans="4:8" s="25" customFormat="1" ht="11.25" customHeight="1">
      <c r="D498" s="28"/>
      <c r="E498" s="28"/>
      <c r="F498" s="28"/>
      <c r="G498" s="28"/>
      <c r="H498" s="28"/>
    </row>
    <row r="499" spans="4:8" s="25" customFormat="1" ht="11.25" customHeight="1">
      <c r="D499" s="28"/>
      <c r="E499" s="28"/>
      <c r="F499" s="28"/>
      <c r="G499" s="28"/>
      <c r="H499" s="28"/>
    </row>
    <row r="500" spans="4:8" s="25" customFormat="1" ht="11.25" customHeight="1">
      <c r="D500" s="28"/>
      <c r="E500" s="28"/>
      <c r="F500" s="28"/>
      <c r="G500" s="28"/>
      <c r="H500" s="28"/>
    </row>
    <row r="501" spans="4:8" s="25" customFormat="1" ht="11.25" customHeight="1">
      <c r="D501" s="28"/>
      <c r="E501" s="28"/>
      <c r="F501" s="28"/>
      <c r="G501" s="28"/>
      <c r="H501" s="28"/>
    </row>
    <row r="502" spans="4:8" s="25" customFormat="1" ht="11.25" customHeight="1">
      <c r="D502" s="28"/>
      <c r="E502" s="28"/>
      <c r="F502" s="28"/>
      <c r="G502" s="28"/>
      <c r="H502" s="28"/>
    </row>
    <row r="503" spans="4:8" s="25" customFormat="1" ht="11.25" customHeight="1">
      <c r="D503" s="28"/>
      <c r="E503" s="28"/>
      <c r="F503" s="28"/>
      <c r="G503" s="28"/>
      <c r="H503" s="28"/>
    </row>
    <row r="504" spans="4:8" s="25" customFormat="1" ht="11.25" customHeight="1">
      <c r="D504" s="28"/>
      <c r="E504" s="28"/>
      <c r="F504" s="28"/>
      <c r="G504" s="28"/>
      <c r="H504" s="28"/>
    </row>
    <row r="505" spans="4:8" s="25" customFormat="1" ht="11.25" customHeight="1">
      <c r="D505" s="28"/>
      <c r="E505" s="28"/>
      <c r="F505" s="28"/>
      <c r="G505" s="28"/>
      <c r="H505" s="28"/>
    </row>
    <row r="506" spans="4:8" s="25" customFormat="1" ht="11.25" customHeight="1">
      <c r="D506" s="28"/>
      <c r="E506" s="28"/>
      <c r="F506" s="28"/>
      <c r="G506" s="28"/>
      <c r="H506" s="28"/>
    </row>
    <row r="507" spans="4:8" s="25" customFormat="1" ht="11.25" customHeight="1">
      <c r="D507" s="28"/>
      <c r="E507" s="28"/>
      <c r="F507" s="28"/>
      <c r="G507" s="28"/>
      <c r="H507" s="28"/>
    </row>
    <row r="508" spans="4:8" s="25" customFormat="1" ht="11.25" customHeight="1">
      <c r="D508" s="28"/>
      <c r="E508" s="28"/>
      <c r="F508" s="28"/>
      <c r="G508" s="28"/>
      <c r="H508" s="28"/>
    </row>
    <row r="509" spans="4:8" s="25" customFormat="1" ht="11.25" customHeight="1">
      <c r="D509" s="28"/>
      <c r="E509" s="28"/>
      <c r="F509" s="28"/>
      <c r="G509" s="28"/>
      <c r="H509" s="28"/>
    </row>
    <row r="510" spans="4:8" s="25" customFormat="1" ht="11.25" customHeight="1">
      <c r="D510" s="28"/>
      <c r="E510" s="28"/>
      <c r="F510" s="28"/>
      <c r="G510" s="28"/>
      <c r="H510" s="28"/>
    </row>
    <row r="511" spans="4:8" s="25" customFormat="1" ht="11.25" customHeight="1">
      <c r="D511" s="28"/>
      <c r="E511" s="28"/>
      <c r="F511" s="28"/>
      <c r="G511" s="28"/>
      <c r="H511" s="28"/>
    </row>
    <row r="512" spans="4:8" s="25" customFormat="1" ht="11.25" customHeight="1">
      <c r="D512" s="28"/>
      <c r="E512" s="28"/>
      <c r="F512" s="28"/>
      <c r="G512" s="28"/>
      <c r="H512" s="28"/>
    </row>
    <row r="513" spans="4:8" s="25" customFormat="1" ht="11.25" customHeight="1">
      <c r="D513" s="28"/>
      <c r="E513" s="28"/>
      <c r="F513" s="28"/>
      <c r="G513" s="28"/>
      <c r="H513" s="28"/>
    </row>
    <row r="514" spans="4:8" s="25" customFormat="1" ht="11.25" customHeight="1">
      <c r="D514" s="28"/>
      <c r="E514" s="28"/>
      <c r="F514" s="28"/>
      <c r="G514" s="28"/>
      <c r="H514" s="28"/>
    </row>
    <row r="515" spans="4:8" s="25" customFormat="1" ht="11.25" customHeight="1">
      <c r="D515" s="28"/>
      <c r="E515" s="28"/>
      <c r="F515" s="28"/>
      <c r="G515" s="28"/>
      <c r="H515" s="28"/>
    </row>
    <row r="516" spans="4:8" s="25" customFormat="1" ht="11.25" customHeight="1">
      <c r="D516" s="28"/>
      <c r="E516" s="28"/>
      <c r="F516" s="28"/>
      <c r="G516" s="28"/>
      <c r="H516" s="28"/>
    </row>
    <row r="517" spans="4:8" s="25" customFormat="1" ht="11.25" customHeight="1">
      <c r="D517" s="28"/>
      <c r="E517" s="28"/>
      <c r="F517" s="28"/>
      <c r="G517" s="28"/>
      <c r="H517" s="28"/>
    </row>
    <row r="518" spans="4:8" s="25" customFormat="1" ht="11.25" customHeight="1">
      <c r="D518" s="28"/>
      <c r="E518" s="28"/>
      <c r="F518" s="28"/>
      <c r="G518" s="28"/>
      <c r="H518" s="28"/>
    </row>
    <row r="519" spans="4:8" s="25" customFormat="1" ht="11.25" customHeight="1">
      <c r="D519" s="28"/>
      <c r="E519" s="28"/>
      <c r="F519" s="28"/>
      <c r="G519" s="28"/>
      <c r="H519" s="28"/>
    </row>
    <row r="520" spans="4:8" s="25" customFormat="1" ht="11.25" customHeight="1">
      <c r="D520" s="28"/>
      <c r="E520" s="28"/>
      <c r="F520" s="28"/>
      <c r="G520" s="28"/>
      <c r="H520" s="28"/>
    </row>
    <row r="521" spans="4:8" s="25" customFormat="1" ht="11.25" customHeight="1">
      <c r="D521" s="28"/>
      <c r="E521" s="28"/>
      <c r="F521" s="28"/>
      <c r="G521" s="28"/>
      <c r="H521" s="28"/>
    </row>
    <row r="522" spans="4:8" s="25" customFormat="1" ht="11.25" customHeight="1">
      <c r="D522" s="28"/>
      <c r="E522" s="28"/>
      <c r="F522" s="28"/>
      <c r="G522" s="28"/>
      <c r="H522" s="28"/>
    </row>
    <row r="523" spans="4:8" s="25" customFormat="1" ht="11.25" customHeight="1">
      <c r="D523" s="28"/>
      <c r="E523" s="28"/>
      <c r="F523" s="28"/>
      <c r="G523" s="28"/>
      <c r="H523" s="28"/>
    </row>
    <row r="524" spans="4:8" s="25" customFormat="1" ht="11.25" customHeight="1">
      <c r="D524" s="28"/>
      <c r="E524" s="28"/>
      <c r="F524" s="28"/>
      <c r="G524" s="28"/>
      <c r="H524" s="28"/>
    </row>
    <row r="525" spans="4:8" s="25" customFormat="1" ht="11.25" customHeight="1">
      <c r="D525" s="28"/>
      <c r="E525" s="28"/>
      <c r="F525" s="28"/>
      <c r="G525" s="28"/>
      <c r="H525" s="28"/>
    </row>
    <row r="526" spans="4:8" s="25" customFormat="1" ht="11.25" customHeight="1">
      <c r="D526" s="28"/>
      <c r="E526" s="28"/>
      <c r="F526" s="28"/>
      <c r="G526" s="28"/>
      <c r="H526" s="28"/>
    </row>
    <row r="527" spans="4:8" s="25" customFormat="1" ht="11.25" customHeight="1">
      <c r="D527" s="28"/>
      <c r="E527" s="28"/>
      <c r="F527" s="28"/>
      <c r="G527" s="28"/>
      <c r="H527" s="28"/>
    </row>
    <row r="528" spans="4:8" s="25" customFormat="1" ht="11.25" customHeight="1">
      <c r="D528" s="28"/>
      <c r="E528" s="28"/>
      <c r="F528" s="28"/>
      <c r="G528" s="28"/>
      <c r="H528" s="28"/>
    </row>
    <row r="529" spans="4:8" s="25" customFormat="1" ht="11.25" customHeight="1">
      <c r="D529" s="28"/>
      <c r="E529" s="28"/>
      <c r="F529" s="28"/>
      <c r="G529" s="28"/>
      <c r="H529" s="28"/>
    </row>
    <row r="530" spans="4:8" s="25" customFormat="1" ht="11.25" customHeight="1">
      <c r="D530" s="28"/>
      <c r="E530" s="28"/>
      <c r="F530" s="28"/>
      <c r="G530" s="28"/>
      <c r="H530" s="28"/>
    </row>
    <row r="531" spans="4:8" s="25" customFormat="1" ht="11.25" customHeight="1">
      <c r="D531" s="28"/>
      <c r="E531" s="28"/>
      <c r="F531" s="28"/>
      <c r="G531" s="28"/>
      <c r="H531" s="28"/>
    </row>
    <row r="532" spans="4:8" s="25" customFormat="1" ht="11.25" customHeight="1">
      <c r="D532" s="28"/>
      <c r="E532" s="28"/>
      <c r="F532" s="28"/>
      <c r="G532" s="28"/>
      <c r="H532" s="28"/>
    </row>
    <row r="533" spans="4:8" s="25" customFormat="1" ht="11.25" customHeight="1">
      <c r="D533" s="28"/>
      <c r="E533" s="28"/>
      <c r="F533" s="28"/>
      <c r="G533" s="28"/>
      <c r="H533" s="28"/>
    </row>
    <row r="534" spans="4:8" s="25" customFormat="1" ht="11.25" customHeight="1">
      <c r="D534" s="28"/>
      <c r="E534" s="28"/>
      <c r="F534" s="28"/>
      <c r="G534" s="28"/>
      <c r="H534" s="28"/>
    </row>
    <row r="535" spans="4:8" s="25" customFormat="1" ht="11.25" customHeight="1">
      <c r="D535" s="28"/>
      <c r="E535" s="28"/>
      <c r="F535" s="28"/>
      <c r="G535" s="28"/>
      <c r="H535" s="28"/>
    </row>
    <row r="536" spans="4:8" s="25" customFormat="1" ht="11.25" customHeight="1">
      <c r="D536" s="28"/>
      <c r="E536" s="28"/>
      <c r="F536" s="28"/>
      <c r="G536" s="28"/>
      <c r="H536" s="28"/>
    </row>
    <row r="537" spans="4:8" s="25" customFormat="1" ht="11.25" customHeight="1">
      <c r="D537" s="28"/>
      <c r="E537" s="28"/>
      <c r="F537" s="28"/>
      <c r="G537" s="28"/>
      <c r="H537" s="28"/>
    </row>
    <row r="538" spans="4:8" s="25" customFormat="1" ht="11.25" customHeight="1">
      <c r="D538" s="28"/>
      <c r="E538" s="28"/>
      <c r="F538" s="28"/>
      <c r="G538" s="28"/>
      <c r="H538" s="28"/>
    </row>
    <row r="539" spans="4:8" s="25" customFormat="1" ht="11.25" customHeight="1">
      <c r="D539" s="28"/>
      <c r="E539" s="28"/>
      <c r="F539" s="28"/>
      <c r="G539" s="28"/>
      <c r="H539" s="28"/>
    </row>
    <row r="540" spans="4:8" s="25" customFormat="1" ht="11.25" customHeight="1">
      <c r="D540" s="28"/>
      <c r="E540" s="28"/>
      <c r="F540" s="28"/>
      <c r="G540" s="28"/>
      <c r="H540" s="28"/>
    </row>
    <row r="541" spans="4:8" s="25" customFormat="1" ht="11.25" customHeight="1">
      <c r="D541" s="28"/>
      <c r="E541" s="28"/>
      <c r="F541" s="28"/>
      <c r="G541" s="28"/>
      <c r="H541" s="28"/>
    </row>
    <row r="542" spans="4:8" s="25" customFormat="1" ht="11.25" customHeight="1">
      <c r="D542" s="28"/>
      <c r="E542" s="28"/>
      <c r="F542" s="28"/>
      <c r="G542" s="28"/>
      <c r="H542" s="28"/>
    </row>
    <row r="543" spans="4:8" s="25" customFormat="1" ht="11.25" customHeight="1">
      <c r="D543" s="28"/>
      <c r="E543" s="28"/>
      <c r="F543" s="28"/>
      <c r="G543" s="28"/>
      <c r="H543" s="28"/>
    </row>
    <row r="544" spans="4:8" s="25" customFormat="1" ht="11.25" customHeight="1">
      <c r="D544" s="28"/>
      <c r="E544" s="28"/>
      <c r="F544" s="28"/>
      <c r="G544" s="28"/>
      <c r="H544" s="28"/>
    </row>
    <row r="545" spans="4:8" s="25" customFormat="1" ht="11.25" customHeight="1">
      <c r="D545" s="28"/>
      <c r="E545" s="28"/>
      <c r="F545" s="28"/>
      <c r="G545" s="28"/>
      <c r="H545" s="28"/>
    </row>
    <row r="546" spans="4:8" s="25" customFormat="1" ht="11.25" customHeight="1">
      <c r="D546" s="28"/>
      <c r="E546" s="28"/>
      <c r="F546" s="28"/>
      <c r="G546" s="28"/>
      <c r="H546" s="28"/>
    </row>
    <row r="547" spans="4:8" s="25" customFormat="1" ht="11.25" customHeight="1">
      <c r="D547" s="28"/>
      <c r="E547" s="28"/>
      <c r="F547" s="28"/>
      <c r="G547" s="28"/>
      <c r="H547" s="28"/>
    </row>
    <row r="548" spans="4:8" s="25" customFormat="1" ht="11.25" customHeight="1">
      <c r="D548" s="28"/>
      <c r="E548" s="28"/>
      <c r="F548" s="28"/>
      <c r="G548" s="28"/>
      <c r="H548" s="28"/>
    </row>
    <row r="549" spans="4:8" s="25" customFormat="1" ht="11.25" customHeight="1">
      <c r="D549" s="28"/>
      <c r="E549" s="28"/>
      <c r="F549" s="28"/>
      <c r="G549" s="28"/>
      <c r="H549" s="28"/>
    </row>
    <row r="550" spans="4:8" s="25" customFormat="1" ht="11.25" customHeight="1">
      <c r="D550" s="28"/>
      <c r="E550" s="28"/>
      <c r="F550" s="28"/>
      <c r="G550" s="28"/>
      <c r="H550" s="28"/>
    </row>
    <row r="551" spans="4:8" s="25" customFormat="1" ht="11.25" customHeight="1">
      <c r="D551" s="28"/>
      <c r="E551" s="28"/>
      <c r="F551" s="28"/>
      <c r="G551" s="28"/>
      <c r="H551" s="28"/>
    </row>
    <row r="552" spans="4:8" s="25" customFormat="1" ht="11.25" customHeight="1">
      <c r="D552" s="28"/>
      <c r="E552" s="28"/>
      <c r="F552" s="28"/>
      <c r="G552" s="28"/>
      <c r="H552" s="28"/>
    </row>
    <row r="553" spans="4:8" s="25" customFormat="1" ht="11.25" customHeight="1">
      <c r="D553" s="28"/>
      <c r="E553" s="28"/>
      <c r="F553" s="28"/>
      <c r="G553" s="28"/>
      <c r="H553" s="28"/>
    </row>
    <row r="554" spans="4:8" s="25" customFormat="1" ht="11.25" customHeight="1">
      <c r="D554" s="28"/>
      <c r="E554" s="28"/>
      <c r="F554" s="28"/>
      <c r="G554" s="28"/>
      <c r="H554" s="28"/>
    </row>
    <row r="555" spans="4:8" s="25" customFormat="1" ht="11.25" customHeight="1">
      <c r="D555" s="28"/>
      <c r="E555" s="28"/>
      <c r="F555" s="28"/>
      <c r="G555" s="28"/>
      <c r="H555" s="28"/>
    </row>
    <row r="556" spans="4:8" s="25" customFormat="1" ht="11.25" customHeight="1">
      <c r="D556" s="28"/>
      <c r="E556" s="28"/>
      <c r="F556" s="28"/>
      <c r="G556" s="28"/>
      <c r="H556" s="28"/>
    </row>
    <row r="557" spans="4:8" s="25" customFormat="1" ht="11.25" customHeight="1">
      <c r="D557" s="28"/>
      <c r="E557" s="28"/>
      <c r="F557" s="28"/>
      <c r="G557" s="28"/>
      <c r="H557" s="28"/>
    </row>
    <row r="558" spans="4:8" s="25" customFormat="1" ht="11.25" customHeight="1">
      <c r="D558" s="28"/>
      <c r="E558" s="28"/>
      <c r="F558" s="28"/>
      <c r="G558" s="28"/>
      <c r="H558" s="28"/>
    </row>
    <row r="559" spans="4:8" s="25" customFormat="1" ht="11.25" customHeight="1">
      <c r="D559" s="28"/>
      <c r="E559" s="28"/>
      <c r="F559" s="28"/>
      <c r="G559" s="28"/>
      <c r="H559" s="28"/>
    </row>
    <row r="560" spans="4:8" s="25" customFormat="1" ht="11.25" customHeight="1">
      <c r="D560" s="28"/>
      <c r="E560" s="28"/>
      <c r="F560" s="28"/>
      <c r="G560" s="28"/>
      <c r="H560" s="28"/>
    </row>
    <row r="561" spans="4:8" s="25" customFormat="1" ht="11.25" customHeight="1">
      <c r="D561" s="28"/>
      <c r="E561" s="28"/>
      <c r="F561" s="28"/>
      <c r="G561" s="28"/>
      <c r="H561" s="28"/>
    </row>
    <row r="562" spans="4:8" s="25" customFormat="1" ht="11.25" customHeight="1">
      <c r="D562" s="28"/>
      <c r="E562" s="28"/>
      <c r="F562" s="28"/>
      <c r="G562" s="28"/>
      <c r="H562" s="28"/>
    </row>
    <row r="563" spans="4:8" s="25" customFormat="1" ht="11.25" customHeight="1">
      <c r="D563" s="28"/>
      <c r="E563" s="28"/>
      <c r="F563" s="28"/>
      <c r="G563" s="28"/>
      <c r="H563" s="28"/>
    </row>
    <row r="564" spans="4:8" s="25" customFormat="1" ht="11.25" customHeight="1">
      <c r="D564" s="28"/>
      <c r="E564" s="28"/>
      <c r="F564" s="28"/>
      <c r="G564" s="28"/>
      <c r="H564" s="28"/>
    </row>
    <row r="565" spans="4:8" s="25" customFormat="1" ht="11.25" customHeight="1">
      <c r="D565" s="28"/>
      <c r="E565" s="28"/>
      <c r="F565" s="28"/>
      <c r="G565" s="28"/>
      <c r="H565" s="28"/>
    </row>
    <row r="566" spans="4:8" s="25" customFormat="1" ht="11.25" customHeight="1">
      <c r="D566" s="28"/>
      <c r="E566" s="28"/>
      <c r="F566" s="28"/>
      <c r="G566" s="28"/>
      <c r="H566" s="28"/>
    </row>
    <row r="567" spans="4:8" s="25" customFormat="1" ht="11.25" customHeight="1">
      <c r="D567" s="28"/>
      <c r="E567" s="28"/>
      <c r="F567" s="28"/>
      <c r="G567" s="28"/>
      <c r="H567" s="28"/>
    </row>
    <row r="568" spans="4:8" s="25" customFormat="1" ht="11.25" customHeight="1">
      <c r="D568" s="28"/>
      <c r="E568" s="28"/>
      <c r="F568" s="28"/>
      <c r="G568" s="28"/>
      <c r="H568" s="28"/>
    </row>
    <row r="569" spans="4:8" s="25" customFormat="1" ht="11.25" customHeight="1">
      <c r="D569" s="28"/>
      <c r="E569" s="28"/>
      <c r="F569" s="28"/>
      <c r="G569" s="28"/>
      <c r="H569" s="28"/>
    </row>
    <row r="570" spans="4:8" s="25" customFormat="1" ht="11.25" customHeight="1">
      <c r="D570" s="28"/>
      <c r="E570" s="28"/>
      <c r="F570" s="28"/>
      <c r="G570" s="28"/>
      <c r="H570" s="28"/>
    </row>
    <row r="571" spans="4:8" s="25" customFormat="1" ht="11.25" customHeight="1">
      <c r="D571" s="28"/>
      <c r="E571" s="28"/>
      <c r="F571" s="28"/>
      <c r="G571" s="28"/>
      <c r="H571" s="28"/>
    </row>
    <row r="572" spans="4:8" s="25" customFormat="1" ht="11.25" customHeight="1">
      <c r="D572" s="28"/>
      <c r="E572" s="28"/>
      <c r="F572" s="28"/>
      <c r="G572" s="28"/>
      <c r="H572" s="28"/>
    </row>
    <row r="573" spans="4:8" s="25" customFormat="1" ht="11.25" customHeight="1">
      <c r="D573" s="28"/>
      <c r="E573" s="28"/>
      <c r="F573" s="28"/>
      <c r="G573" s="28"/>
      <c r="H573" s="28"/>
    </row>
    <row r="574" spans="4:8" s="25" customFormat="1" ht="11.25" customHeight="1">
      <c r="D574" s="28"/>
      <c r="E574" s="28"/>
      <c r="F574" s="28"/>
      <c r="G574" s="28"/>
      <c r="H574" s="28"/>
    </row>
    <row r="575" spans="4:8" s="25" customFormat="1" ht="11.25" customHeight="1">
      <c r="D575" s="28"/>
      <c r="E575" s="28"/>
      <c r="F575" s="28"/>
      <c r="G575" s="28"/>
      <c r="H575" s="28"/>
    </row>
    <row r="576" spans="4:8" s="25" customFormat="1" ht="11.25" customHeight="1">
      <c r="D576" s="28"/>
      <c r="E576" s="28"/>
      <c r="F576" s="28"/>
      <c r="G576" s="28"/>
      <c r="H576" s="28"/>
    </row>
    <row r="577" spans="4:8" s="25" customFormat="1" ht="11.25" customHeight="1">
      <c r="D577" s="28"/>
      <c r="E577" s="28"/>
      <c r="F577" s="28"/>
      <c r="G577" s="28"/>
      <c r="H577" s="28"/>
    </row>
    <row r="578" spans="4:8" s="25" customFormat="1" ht="11.25" customHeight="1">
      <c r="D578" s="28"/>
      <c r="E578" s="28"/>
      <c r="F578" s="28"/>
      <c r="G578" s="28"/>
      <c r="H578" s="28"/>
    </row>
    <row r="579" spans="4:8" s="25" customFormat="1" ht="11.25" customHeight="1">
      <c r="D579" s="28"/>
      <c r="E579" s="28"/>
      <c r="F579" s="28"/>
      <c r="G579" s="28"/>
      <c r="H579" s="28"/>
    </row>
    <row r="580" spans="4:8" s="25" customFormat="1" ht="11.25" customHeight="1">
      <c r="D580" s="28"/>
      <c r="E580" s="28"/>
      <c r="F580" s="28"/>
      <c r="G580" s="28"/>
      <c r="H580" s="28"/>
    </row>
    <row r="581" spans="4:8" s="25" customFormat="1" ht="11.25" customHeight="1">
      <c r="D581" s="28"/>
      <c r="E581" s="28"/>
      <c r="F581" s="28"/>
      <c r="G581" s="28"/>
      <c r="H581" s="28"/>
    </row>
    <row r="582" spans="4:8" s="25" customFormat="1" ht="11.25" customHeight="1">
      <c r="D582" s="28"/>
      <c r="E582" s="28"/>
      <c r="F582" s="28"/>
      <c r="G582" s="28"/>
      <c r="H582" s="28"/>
    </row>
    <row r="583" spans="4:8" s="25" customFormat="1" ht="11.25" customHeight="1">
      <c r="D583" s="28"/>
      <c r="E583" s="28"/>
      <c r="F583" s="28"/>
      <c r="G583" s="28"/>
      <c r="H583" s="28"/>
    </row>
    <row r="584" spans="4:8" s="25" customFormat="1" ht="11.25" customHeight="1">
      <c r="D584" s="28"/>
      <c r="E584" s="28"/>
      <c r="F584" s="28"/>
      <c r="G584" s="28"/>
      <c r="H584" s="28"/>
    </row>
    <row r="585" spans="4:8" s="25" customFormat="1" ht="11.25" customHeight="1">
      <c r="D585" s="28"/>
      <c r="E585" s="28"/>
      <c r="F585" s="28"/>
      <c r="G585" s="28"/>
      <c r="H585" s="28"/>
    </row>
    <row r="586" spans="4:8" s="25" customFormat="1" ht="11.25" customHeight="1">
      <c r="D586" s="28"/>
      <c r="E586" s="28"/>
      <c r="F586" s="28"/>
      <c r="G586" s="28"/>
      <c r="H586" s="28"/>
    </row>
    <row r="587" spans="4:8" s="25" customFormat="1" ht="11.25" customHeight="1">
      <c r="D587" s="28"/>
      <c r="E587" s="28"/>
      <c r="F587" s="28"/>
      <c r="G587" s="28"/>
      <c r="H587" s="28"/>
    </row>
    <row r="588" spans="4:8" s="25" customFormat="1" ht="11.25" customHeight="1">
      <c r="D588" s="28"/>
      <c r="E588" s="28"/>
      <c r="F588" s="28"/>
      <c r="G588" s="28"/>
      <c r="H588" s="28"/>
    </row>
    <row r="589" spans="4:8" s="25" customFormat="1" ht="11.25" customHeight="1">
      <c r="D589" s="28"/>
      <c r="E589" s="28"/>
      <c r="F589" s="28"/>
      <c r="G589" s="28"/>
      <c r="H589" s="28"/>
    </row>
    <row r="590" spans="4:8" s="25" customFormat="1" ht="11.25" customHeight="1">
      <c r="D590" s="28"/>
      <c r="E590" s="28"/>
      <c r="F590" s="28"/>
      <c r="G590" s="28"/>
      <c r="H590" s="28"/>
    </row>
    <row r="591" spans="4:8" s="25" customFormat="1" ht="11.25" customHeight="1">
      <c r="D591" s="28"/>
      <c r="E591" s="28"/>
      <c r="F591" s="28"/>
      <c r="G591" s="28"/>
      <c r="H591" s="28"/>
    </row>
    <row r="592" spans="4:8" s="25" customFormat="1" ht="11.25" customHeight="1">
      <c r="D592" s="28"/>
      <c r="E592" s="28"/>
      <c r="F592" s="28"/>
      <c r="G592" s="28"/>
      <c r="H592" s="28"/>
    </row>
    <row r="593" spans="4:8" s="25" customFormat="1" ht="11.25" customHeight="1">
      <c r="D593" s="28"/>
      <c r="E593" s="28"/>
      <c r="F593" s="28"/>
      <c r="G593" s="28"/>
      <c r="H593" s="28"/>
    </row>
    <row r="594" spans="4:8" s="25" customFormat="1" ht="11.25" customHeight="1">
      <c r="D594" s="28"/>
      <c r="E594" s="28"/>
      <c r="F594" s="28"/>
      <c r="G594" s="28"/>
      <c r="H594" s="28"/>
    </row>
    <row r="595" spans="4:8" s="25" customFormat="1" ht="11.25" customHeight="1">
      <c r="D595" s="28"/>
      <c r="E595" s="28"/>
      <c r="F595" s="28"/>
      <c r="G595" s="28"/>
      <c r="H595" s="28"/>
    </row>
    <row r="596" spans="4:8" s="25" customFormat="1" ht="11.25" customHeight="1">
      <c r="D596" s="28"/>
      <c r="E596" s="28"/>
      <c r="F596" s="28"/>
      <c r="G596" s="28"/>
      <c r="H596" s="28"/>
    </row>
    <row r="597" spans="4:8" s="25" customFormat="1" ht="11.25" customHeight="1">
      <c r="D597" s="28"/>
      <c r="E597" s="28"/>
      <c r="F597" s="28"/>
      <c r="G597" s="28"/>
      <c r="H597" s="28"/>
    </row>
    <row r="598" spans="4:8" s="25" customFormat="1" ht="11.25" customHeight="1">
      <c r="D598" s="28"/>
      <c r="E598" s="28"/>
      <c r="F598" s="28"/>
      <c r="G598" s="28"/>
      <c r="H598" s="28"/>
    </row>
    <row r="599" spans="4:8" s="25" customFormat="1" ht="11.25" customHeight="1">
      <c r="D599" s="28"/>
      <c r="E599" s="28"/>
      <c r="F599" s="28"/>
      <c r="G599" s="28"/>
      <c r="H599" s="28"/>
    </row>
    <row r="600" spans="4:8" s="25" customFormat="1" ht="11.25" customHeight="1">
      <c r="D600" s="28"/>
      <c r="E600" s="28"/>
      <c r="F600" s="28"/>
      <c r="G600" s="28"/>
      <c r="H600" s="28"/>
    </row>
    <row r="601" spans="4:8" s="25" customFormat="1" ht="11.25" customHeight="1">
      <c r="D601" s="28"/>
      <c r="E601" s="28"/>
      <c r="F601" s="28"/>
      <c r="G601" s="28"/>
      <c r="H601" s="28"/>
    </row>
    <row r="602" spans="4:8" s="25" customFormat="1" ht="11.25" customHeight="1">
      <c r="D602" s="28"/>
      <c r="E602" s="28"/>
      <c r="F602" s="28"/>
      <c r="G602" s="28"/>
      <c r="H602" s="28"/>
    </row>
    <row r="603" spans="4:8" s="25" customFormat="1" ht="11.25" customHeight="1">
      <c r="D603" s="28"/>
      <c r="E603" s="28"/>
      <c r="F603" s="28"/>
      <c r="G603" s="28"/>
      <c r="H603" s="28"/>
    </row>
    <row r="604" spans="4:8" s="25" customFormat="1" ht="11.25" customHeight="1">
      <c r="D604" s="28"/>
      <c r="E604" s="28"/>
      <c r="F604" s="28"/>
      <c r="G604" s="28"/>
      <c r="H604" s="28"/>
    </row>
    <row r="605" spans="4:8" s="25" customFormat="1" ht="11.25" customHeight="1">
      <c r="D605" s="28"/>
      <c r="E605" s="28"/>
      <c r="F605" s="28"/>
      <c r="G605" s="28"/>
      <c r="H605" s="28"/>
    </row>
    <row r="606" spans="4:8" s="25" customFormat="1" ht="11.25" customHeight="1">
      <c r="D606" s="28"/>
      <c r="E606" s="28"/>
      <c r="F606" s="28"/>
      <c r="G606" s="28"/>
      <c r="H606" s="28"/>
    </row>
    <row r="607" spans="4:8" s="25" customFormat="1" ht="11.25" customHeight="1">
      <c r="D607" s="28"/>
      <c r="E607" s="28"/>
      <c r="F607" s="28"/>
      <c r="G607" s="28"/>
      <c r="H607" s="28"/>
    </row>
    <row r="608" spans="4:8" s="25" customFormat="1" ht="11.25" customHeight="1">
      <c r="D608" s="28"/>
      <c r="E608" s="28"/>
      <c r="F608" s="28"/>
      <c r="G608" s="28"/>
      <c r="H608" s="28"/>
    </row>
    <row r="609" spans="4:8" s="25" customFormat="1" ht="11.25" customHeight="1">
      <c r="D609" s="28"/>
      <c r="E609" s="28"/>
      <c r="F609" s="28"/>
      <c r="G609" s="28"/>
      <c r="H609" s="28"/>
    </row>
    <row r="610" spans="4:8" s="25" customFormat="1" ht="11.25" customHeight="1">
      <c r="D610" s="28"/>
      <c r="E610" s="28"/>
      <c r="F610" s="28"/>
      <c r="G610" s="28"/>
      <c r="H610" s="28"/>
    </row>
    <row r="611" spans="4:8" s="25" customFormat="1" ht="11.25" customHeight="1">
      <c r="D611" s="28"/>
      <c r="E611" s="28"/>
      <c r="F611" s="28"/>
      <c r="G611" s="28"/>
      <c r="H611" s="28"/>
    </row>
    <row r="612" spans="4:8" s="25" customFormat="1" ht="11.25" customHeight="1">
      <c r="D612" s="28"/>
      <c r="E612" s="28"/>
      <c r="F612" s="28"/>
      <c r="G612" s="28"/>
      <c r="H612" s="28"/>
    </row>
    <row r="613" spans="4:8" s="25" customFormat="1" ht="11.25" customHeight="1">
      <c r="D613" s="28"/>
      <c r="E613" s="28"/>
      <c r="F613" s="28"/>
      <c r="G613" s="28"/>
      <c r="H613" s="28"/>
    </row>
    <row r="614" spans="4:8" s="25" customFormat="1" ht="11.25" customHeight="1">
      <c r="D614" s="28"/>
      <c r="E614" s="28"/>
      <c r="F614" s="28"/>
      <c r="G614" s="28"/>
      <c r="H614" s="28"/>
    </row>
    <row r="615" spans="4:8" s="25" customFormat="1" ht="11.25" customHeight="1">
      <c r="D615" s="28"/>
      <c r="E615" s="28"/>
      <c r="F615" s="28"/>
      <c r="G615" s="28"/>
      <c r="H615" s="28"/>
    </row>
    <row r="616" spans="4:8" s="25" customFormat="1" ht="11.25" customHeight="1">
      <c r="D616" s="28"/>
      <c r="E616" s="28"/>
      <c r="F616" s="28"/>
      <c r="G616" s="28"/>
      <c r="H616" s="28"/>
    </row>
    <row r="617" spans="4:8" s="25" customFormat="1" ht="11.25" customHeight="1">
      <c r="D617" s="28"/>
      <c r="E617" s="28"/>
      <c r="F617" s="28"/>
      <c r="G617" s="28"/>
      <c r="H617" s="28"/>
    </row>
    <row r="618" spans="4:8" s="25" customFormat="1" ht="11.25" customHeight="1">
      <c r="D618" s="28"/>
      <c r="E618" s="28"/>
      <c r="F618" s="28"/>
      <c r="G618" s="28"/>
      <c r="H618" s="28"/>
    </row>
    <row r="619" spans="4:8" s="25" customFormat="1" ht="11.25" customHeight="1">
      <c r="D619" s="28"/>
      <c r="E619" s="28"/>
      <c r="F619" s="28"/>
      <c r="G619" s="28"/>
      <c r="H619" s="28"/>
    </row>
    <row r="620" spans="4:8" s="25" customFormat="1" ht="11.25" customHeight="1">
      <c r="D620" s="28"/>
      <c r="E620" s="28"/>
      <c r="F620" s="28"/>
      <c r="G620" s="28"/>
      <c r="H620" s="28"/>
    </row>
    <row r="621" spans="4:8" s="25" customFormat="1" ht="11.25" customHeight="1">
      <c r="D621" s="28"/>
      <c r="E621" s="28"/>
      <c r="F621" s="28"/>
      <c r="G621" s="28"/>
      <c r="H621" s="28"/>
    </row>
    <row r="622" spans="4:8" s="25" customFormat="1" ht="11.25" customHeight="1">
      <c r="D622" s="28"/>
      <c r="E622" s="28"/>
      <c r="F622" s="28"/>
      <c r="G622" s="28"/>
      <c r="H622" s="28"/>
    </row>
    <row r="623" spans="4:8" s="25" customFormat="1" ht="11.25" customHeight="1">
      <c r="D623" s="28"/>
      <c r="E623" s="28"/>
      <c r="F623" s="28"/>
      <c r="G623" s="28"/>
      <c r="H623" s="28"/>
    </row>
    <row r="624" spans="4:8" s="25" customFormat="1" ht="11.25" customHeight="1">
      <c r="D624" s="28"/>
      <c r="E624" s="28"/>
      <c r="F624" s="28"/>
      <c r="G624" s="28"/>
      <c r="H624" s="28"/>
    </row>
    <row r="625" spans="4:8" s="25" customFormat="1" ht="11.25" customHeight="1">
      <c r="D625" s="28"/>
      <c r="E625" s="28"/>
      <c r="F625" s="28"/>
      <c r="G625" s="28"/>
      <c r="H625" s="28"/>
    </row>
    <row r="626" spans="4:8" s="25" customFormat="1" ht="11.25" customHeight="1">
      <c r="D626" s="28"/>
      <c r="E626" s="28"/>
      <c r="F626" s="28"/>
      <c r="G626" s="28"/>
      <c r="H626" s="28"/>
    </row>
    <row r="627" spans="4:8" s="25" customFormat="1" ht="11.25" customHeight="1">
      <c r="D627" s="28"/>
      <c r="E627" s="28"/>
      <c r="F627" s="28"/>
      <c r="G627" s="28"/>
      <c r="H627" s="28"/>
    </row>
    <row r="628" spans="4:8" s="25" customFormat="1" ht="11.25" customHeight="1">
      <c r="D628" s="28"/>
      <c r="E628" s="28"/>
      <c r="F628" s="28"/>
      <c r="G628" s="28"/>
      <c r="H628" s="28"/>
    </row>
    <row r="629" spans="4:8" s="25" customFormat="1" ht="11.25" customHeight="1">
      <c r="D629" s="28"/>
      <c r="E629" s="28"/>
      <c r="F629" s="28"/>
      <c r="G629" s="28"/>
      <c r="H629" s="28"/>
    </row>
    <row r="630" spans="4:8" s="25" customFormat="1" ht="11.25" customHeight="1">
      <c r="D630" s="28"/>
      <c r="E630" s="28"/>
      <c r="F630" s="28"/>
      <c r="G630" s="28"/>
      <c r="H630" s="28"/>
    </row>
    <row r="631" spans="4:8" s="25" customFormat="1" ht="11.25" customHeight="1">
      <c r="D631" s="28"/>
      <c r="E631" s="28"/>
      <c r="F631" s="28"/>
      <c r="G631" s="28"/>
      <c r="H631" s="28"/>
    </row>
    <row r="632" spans="4:8" s="25" customFormat="1" ht="11.25" customHeight="1">
      <c r="D632" s="28"/>
      <c r="E632" s="28"/>
      <c r="F632" s="28"/>
      <c r="G632" s="28"/>
      <c r="H632" s="28"/>
    </row>
    <row r="633" spans="4:8" s="25" customFormat="1" ht="11.25" customHeight="1">
      <c r="D633" s="28"/>
      <c r="E633" s="28"/>
      <c r="F633" s="28"/>
      <c r="G633" s="28"/>
      <c r="H633" s="28"/>
    </row>
    <row r="634" spans="4:8" s="25" customFormat="1" ht="11.25" customHeight="1">
      <c r="D634" s="28"/>
      <c r="E634" s="28"/>
      <c r="F634" s="28"/>
      <c r="G634" s="28"/>
      <c r="H634" s="28"/>
    </row>
    <row r="635" spans="4:8" s="25" customFormat="1" ht="11.25" customHeight="1">
      <c r="D635" s="28"/>
      <c r="E635" s="28"/>
      <c r="F635" s="28"/>
      <c r="G635" s="28"/>
      <c r="H635" s="28"/>
    </row>
    <row r="636" spans="4:8" s="25" customFormat="1" ht="11.25" customHeight="1">
      <c r="D636" s="28"/>
      <c r="E636" s="28"/>
      <c r="F636" s="28"/>
      <c r="G636" s="28"/>
      <c r="H636" s="28"/>
    </row>
    <row r="637" spans="4:8" s="25" customFormat="1" ht="11.25" customHeight="1">
      <c r="D637" s="28"/>
      <c r="E637" s="28"/>
      <c r="F637" s="28"/>
      <c r="G637" s="28"/>
      <c r="H637" s="28"/>
    </row>
    <row r="638" spans="4:8" s="25" customFormat="1" ht="11.25" customHeight="1">
      <c r="D638" s="28"/>
      <c r="E638" s="28"/>
      <c r="F638" s="28"/>
      <c r="G638" s="28"/>
      <c r="H638" s="28"/>
    </row>
    <row r="639" spans="4:8" s="25" customFormat="1" ht="11.25" customHeight="1">
      <c r="D639" s="28"/>
      <c r="E639" s="28"/>
      <c r="F639" s="28"/>
      <c r="G639" s="28"/>
      <c r="H639" s="28"/>
    </row>
    <row r="640" spans="4:8" s="25" customFormat="1" ht="11.25" customHeight="1">
      <c r="D640" s="28"/>
      <c r="E640" s="28"/>
      <c r="F640" s="28"/>
      <c r="G640" s="28"/>
      <c r="H640" s="28"/>
    </row>
    <row r="641" spans="4:8" s="25" customFormat="1" ht="11.25" customHeight="1">
      <c r="D641" s="28"/>
      <c r="E641" s="28"/>
      <c r="F641" s="28"/>
      <c r="G641" s="28"/>
      <c r="H641" s="28"/>
    </row>
    <row r="642" spans="4:8" s="25" customFormat="1" ht="11.25" customHeight="1">
      <c r="D642" s="28"/>
      <c r="E642" s="28"/>
      <c r="F642" s="28"/>
      <c r="G642" s="28"/>
      <c r="H642" s="28"/>
    </row>
    <row r="643" spans="4:8" s="25" customFormat="1" ht="11.25" customHeight="1">
      <c r="D643" s="28"/>
      <c r="E643" s="28"/>
      <c r="F643" s="28"/>
      <c r="G643" s="28"/>
      <c r="H643" s="28"/>
    </row>
    <row r="644" spans="4:8" s="25" customFormat="1" ht="11.25" customHeight="1">
      <c r="D644" s="28"/>
      <c r="E644" s="28"/>
      <c r="F644" s="28"/>
      <c r="G644" s="28"/>
      <c r="H644" s="28"/>
    </row>
    <row r="645" spans="4:8" s="25" customFormat="1" ht="11.25" customHeight="1">
      <c r="D645" s="28"/>
      <c r="E645" s="28"/>
      <c r="F645" s="28"/>
      <c r="G645" s="28"/>
      <c r="H645" s="28"/>
    </row>
    <row r="646" spans="4:8" s="25" customFormat="1" ht="11.25" customHeight="1">
      <c r="D646" s="28"/>
      <c r="E646" s="28"/>
      <c r="F646" s="28"/>
      <c r="G646" s="28"/>
      <c r="H646" s="28"/>
    </row>
    <row r="647" spans="4:8" s="25" customFormat="1" ht="11.25" customHeight="1">
      <c r="D647" s="28"/>
      <c r="E647" s="28"/>
      <c r="F647" s="28"/>
      <c r="G647" s="28"/>
      <c r="H647" s="28"/>
    </row>
    <row r="648" spans="4:8" s="25" customFormat="1" ht="11.25" customHeight="1">
      <c r="D648" s="28"/>
      <c r="E648" s="28"/>
      <c r="F648" s="28"/>
      <c r="G648" s="28"/>
      <c r="H648" s="28"/>
    </row>
    <row r="649" spans="4:8" s="25" customFormat="1" ht="11.25" customHeight="1">
      <c r="D649" s="28"/>
      <c r="E649" s="28"/>
      <c r="F649" s="28"/>
      <c r="G649" s="28"/>
      <c r="H649" s="28"/>
    </row>
    <row r="650" spans="4:8" s="25" customFormat="1" ht="11.25" customHeight="1">
      <c r="D650" s="28"/>
      <c r="E650" s="28"/>
      <c r="F650" s="28"/>
      <c r="G650" s="28"/>
      <c r="H650" s="28"/>
    </row>
    <row r="651" spans="4:8" s="25" customFormat="1" ht="11.25" customHeight="1">
      <c r="D651" s="28"/>
      <c r="E651" s="28"/>
      <c r="F651" s="28"/>
      <c r="G651" s="28"/>
      <c r="H651" s="28"/>
    </row>
    <row r="652" spans="4:8" s="25" customFormat="1" ht="11.25" customHeight="1">
      <c r="D652" s="28"/>
      <c r="E652" s="28"/>
      <c r="F652" s="28"/>
      <c r="G652" s="28"/>
      <c r="H652" s="28"/>
    </row>
    <row r="653" spans="4:8" s="25" customFormat="1" ht="11.25" customHeight="1">
      <c r="D653" s="28"/>
      <c r="E653" s="28"/>
      <c r="F653" s="28"/>
      <c r="G653" s="28"/>
      <c r="H653" s="28"/>
    </row>
    <row r="654" spans="4:8" s="25" customFormat="1" ht="11.25" customHeight="1">
      <c r="D654" s="28"/>
      <c r="E654" s="28"/>
      <c r="F654" s="28"/>
      <c r="G654" s="28"/>
      <c r="H654" s="28"/>
    </row>
    <row r="655" spans="4:8" s="25" customFormat="1" ht="11.25" customHeight="1">
      <c r="D655" s="28"/>
      <c r="E655" s="28"/>
      <c r="F655" s="28"/>
      <c r="G655" s="28"/>
      <c r="H655" s="28"/>
    </row>
    <row r="656" spans="4:8" s="25" customFormat="1" ht="11.25" customHeight="1">
      <c r="D656" s="28"/>
      <c r="E656" s="28"/>
      <c r="F656" s="28"/>
      <c r="G656" s="28"/>
      <c r="H656" s="28"/>
    </row>
    <row r="657" spans="4:8" s="25" customFormat="1" ht="11.25" customHeight="1">
      <c r="D657" s="28"/>
      <c r="E657" s="28"/>
      <c r="F657" s="28"/>
      <c r="G657" s="28"/>
      <c r="H657" s="28"/>
    </row>
    <row r="658" spans="4:8" s="25" customFormat="1" ht="11.25" customHeight="1">
      <c r="D658" s="28"/>
      <c r="E658" s="28"/>
      <c r="F658" s="28"/>
      <c r="G658" s="28"/>
      <c r="H658" s="28"/>
    </row>
    <row r="659" spans="4:8" s="25" customFormat="1" ht="11.25" customHeight="1">
      <c r="D659" s="28"/>
      <c r="E659" s="28"/>
      <c r="F659" s="28"/>
      <c r="G659" s="28"/>
      <c r="H659" s="28"/>
    </row>
    <row r="660" spans="4:8" s="25" customFormat="1" ht="11.25" customHeight="1">
      <c r="D660" s="28"/>
      <c r="E660" s="28"/>
      <c r="F660" s="28"/>
      <c r="G660" s="28"/>
      <c r="H660" s="28"/>
    </row>
    <row r="661" spans="4:8" s="25" customFormat="1" ht="11.25" customHeight="1">
      <c r="D661" s="28"/>
      <c r="E661" s="28"/>
      <c r="F661" s="28"/>
      <c r="G661" s="28"/>
      <c r="H661" s="28"/>
    </row>
    <row r="662" spans="4:8" s="25" customFormat="1" ht="11.25" customHeight="1">
      <c r="D662" s="28"/>
      <c r="E662" s="28"/>
      <c r="F662" s="28"/>
      <c r="G662" s="28"/>
      <c r="H662" s="28"/>
    </row>
    <row r="663" spans="4:8" s="25" customFormat="1" ht="11.25" customHeight="1">
      <c r="D663" s="28"/>
      <c r="E663" s="28"/>
      <c r="F663" s="28"/>
      <c r="G663" s="28"/>
      <c r="H663" s="28"/>
    </row>
    <row r="664" spans="4:8" s="25" customFormat="1" ht="11.25" customHeight="1">
      <c r="D664" s="28"/>
      <c r="E664" s="28"/>
      <c r="F664" s="28"/>
      <c r="G664" s="28"/>
      <c r="H664" s="28"/>
    </row>
    <row r="665" spans="4:8" s="25" customFormat="1" ht="11.25" customHeight="1">
      <c r="D665" s="28"/>
      <c r="E665" s="28"/>
      <c r="F665" s="28"/>
      <c r="G665" s="28"/>
      <c r="H665" s="28"/>
    </row>
    <row r="666" spans="4:8" s="25" customFormat="1" ht="11.25" customHeight="1">
      <c r="D666" s="28"/>
      <c r="E666" s="28"/>
      <c r="F666" s="28"/>
      <c r="G666" s="28"/>
      <c r="H666" s="28"/>
    </row>
    <row r="667" spans="4:8" s="25" customFormat="1" ht="11.25" customHeight="1">
      <c r="D667" s="28"/>
      <c r="E667" s="28"/>
      <c r="F667" s="28"/>
      <c r="G667" s="28"/>
      <c r="H667" s="28"/>
    </row>
    <row r="668" spans="4:8" s="25" customFormat="1" ht="11.25" customHeight="1">
      <c r="D668" s="28"/>
      <c r="E668" s="28"/>
      <c r="F668" s="28"/>
      <c r="G668" s="28"/>
      <c r="H668" s="28"/>
    </row>
    <row r="669" spans="4:8" s="25" customFormat="1" ht="11.25" customHeight="1">
      <c r="D669" s="28"/>
      <c r="E669" s="28"/>
      <c r="F669" s="28"/>
      <c r="G669" s="28"/>
      <c r="H669" s="28"/>
    </row>
    <row r="670" spans="4:8" s="25" customFormat="1" ht="11.25" customHeight="1">
      <c r="D670" s="28"/>
      <c r="E670" s="28"/>
      <c r="F670" s="28"/>
      <c r="G670" s="28"/>
      <c r="H670" s="28"/>
    </row>
    <row r="671" spans="4:8" s="25" customFormat="1" ht="11.25" customHeight="1">
      <c r="D671" s="28"/>
      <c r="E671" s="28"/>
      <c r="F671" s="28"/>
      <c r="G671" s="28"/>
      <c r="H671" s="28"/>
    </row>
    <row r="672" spans="4:8" s="25" customFormat="1" ht="11.25" customHeight="1">
      <c r="D672" s="28"/>
      <c r="E672" s="28"/>
      <c r="F672" s="28"/>
      <c r="G672" s="28"/>
      <c r="H672" s="28"/>
    </row>
    <row r="673" spans="4:8" s="25" customFormat="1" ht="11.25" customHeight="1">
      <c r="D673" s="28"/>
      <c r="E673" s="28"/>
      <c r="F673" s="28"/>
      <c r="G673" s="28"/>
      <c r="H673" s="28"/>
    </row>
    <row r="674" spans="4:8" s="25" customFormat="1" ht="11.25" customHeight="1">
      <c r="D674" s="28"/>
      <c r="E674" s="28"/>
      <c r="F674" s="28"/>
      <c r="G674" s="28"/>
      <c r="H674" s="28"/>
    </row>
    <row r="675" spans="4:8" s="25" customFormat="1" ht="11.25" customHeight="1">
      <c r="D675" s="28"/>
      <c r="E675" s="28"/>
      <c r="F675" s="28"/>
      <c r="G675" s="28"/>
      <c r="H675" s="28"/>
    </row>
    <row r="676" spans="4:8" s="25" customFormat="1" ht="11.25" customHeight="1">
      <c r="D676" s="28"/>
      <c r="E676" s="28"/>
      <c r="F676" s="28"/>
      <c r="G676" s="28"/>
      <c r="H676" s="28"/>
    </row>
    <row r="677" spans="4:8" s="25" customFormat="1" ht="11.25" customHeight="1">
      <c r="D677" s="28"/>
      <c r="E677" s="28"/>
      <c r="F677" s="28"/>
      <c r="G677" s="28"/>
      <c r="H677" s="28"/>
    </row>
    <row r="678" spans="4:8" s="25" customFormat="1" ht="11.25" customHeight="1">
      <c r="D678" s="28"/>
      <c r="E678" s="28"/>
      <c r="F678" s="28"/>
      <c r="G678" s="28"/>
      <c r="H678" s="28"/>
    </row>
    <row r="679" spans="4:8" s="25" customFormat="1" ht="11.25" customHeight="1">
      <c r="D679" s="28"/>
      <c r="E679" s="28"/>
      <c r="F679" s="28"/>
      <c r="G679" s="28"/>
      <c r="H679" s="28"/>
    </row>
    <row r="680" spans="4:8" s="25" customFormat="1" ht="11.25" customHeight="1">
      <c r="D680" s="28"/>
      <c r="E680" s="28"/>
      <c r="F680" s="28"/>
      <c r="G680" s="28"/>
      <c r="H680" s="28"/>
    </row>
    <row r="681" spans="4:8" s="25" customFormat="1" ht="11.25" customHeight="1">
      <c r="D681" s="28"/>
      <c r="E681" s="28"/>
      <c r="F681" s="28"/>
      <c r="G681" s="28"/>
      <c r="H681" s="28"/>
    </row>
    <row r="682" spans="4:8" s="25" customFormat="1" ht="11.25" customHeight="1">
      <c r="D682" s="28"/>
      <c r="E682" s="28"/>
      <c r="F682" s="28"/>
      <c r="G682" s="28"/>
      <c r="H682" s="28"/>
    </row>
    <row r="683" spans="4:8" s="25" customFormat="1" ht="11.25" customHeight="1">
      <c r="D683" s="28"/>
      <c r="E683" s="28"/>
      <c r="F683" s="28"/>
      <c r="G683" s="28"/>
      <c r="H683" s="28"/>
    </row>
    <row r="684" spans="4:8" s="25" customFormat="1" ht="11.25" customHeight="1">
      <c r="D684" s="28"/>
      <c r="E684" s="28"/>
      <c r="F684" s="28"/>
      <c r="G684" s="28"/>
      <c r="H684" s="28"/>
    </row>
    <row r="685" spans="4:8" s="25" customFormat="1" ht="11.25" customHeight="1">
      <c r="D685" s="28"/>
      <c r="E685" s="28"/>
      <c r="F685" s="28"/>
      <c r="G685" s="28"/>
      <c r="H685" s="28"/>
    </row>
    <row r="686" spans="4:8" s="25" customFormat="1" ht="11.25" customHeight="1">
      <c r="D686" s="28"/>
      <c r="E686" s="28"/>
      <c r="F686" s="28"/>
      <c r="G686" s="28"/>
      <c r="H686" s="28"/>
    </row>
    <row r="687" spans="4:8" s="25" customFormat="1" ht="11.25" customHeight="1">
      <c r="D687" s="28"/>
      <c r="E687" s="28"/>
      <c r="F687" s="28"/>
      <c r="G687" s="28"/>
      <c r="H687" s="28"/>
    </row>
    <row r="688" spans="4:8" s="25" customFormat="1" ht="11.25" customHeight="1">
      <c r="D688" s="28"/>
      <c r="E688" s="28"/>
      <c r="F688" s="28"/>
      <c r="G688" s="28"/>
      <c r="H688" s="28"/>
    </row>
    <row r="689" spans="4:8" s="25" customFormat="1" ht="11.25" customHeight="1">
      <c r="D689" s="28"/>
      <c r="E689" s="28"/>
      <c r="F689" s="28"/>
      <c r="G689" s="28"/>
      <c r="H689" s="28"/>
    </row>
    <row r="690" spans="4:8" s="25" customFormat="1" ht="11.25" customHeight="1">
      <c r="D690" s="28"/>
      <c r="E690" s="28"/>
      <c r="F690" s="28"/>
      <c r="G690" s="28"/>
      <c r="H690" s="28"/>
    </row>
    <row r="691" spans="4:8" s="25" customFormat="1" ht="11.25" customHeight="1">
      <c r="D691" s="28"/>
      <c r="E691" s="28"/>
      <c r="F691" s="28"/>
      <c r="G691" s="28"/>
      <c r="H691" s="28"/>
    </row>
    <row r="692" spans="4:8" s="25" customFormat="1" ht="11.25" customHeight="1">
      <c r="D692" s="28"/>
      <c r="E692" s="28"/>
      <c r="F692" s="28"/>
      <c r="G692" s="28"/>
      <c r="H692" s="28"/>
    </row>
    <row r="693" spans="4:8" s="25" customFormat="1" ht="11.25" customHeight="1">
      <c r="D693" s="28"/>
      <c r="E693" s="28"/>
      <c r="F693" s="28"/>
      <c r="G693" s="28"/>
      <c r="H693" s="28"/>
    </row>
    <row r="694" spans="4:8" s="25" customFormat="1" ht="11.25" customHeight="1">
      <c r="D694" s="28"/>
      <c r="E694" s="28"/>
      <c r="F694" s="28"/>
      <c r="G694" s="28"/>
      <c r="H694" s="28"/>
    </row>
    <row r="695" spans="4:8" s="25" customFormat="1" ht="11.25" customHeight="1">
      <c r="D695" s="28"/>
      <c r="E695" s="28"/>
      <c r="F695" s="28"/>
      <c r="G695" s="28"/>
      <c r="H695" s="28"/>
    </row>
    <row r="696" spans="4:8" s="25" customFormat="1" ht="11.25" customHeight="1">
      <c r="D696" s="28"/>
      <c r="E696" s="28"/>
      <c r="F696" s="28"/>
      <c r="G696" s="28"/>
      <c r="H696" s="28"/>
    </row>
    <row r="697" spans="4:8" s="25" customFormat="1" ht="11.25" customHeight="1">
      <c r="D697" s="28"/>
      <c r="E697" s="28"/>
      <c r="F697" s="28"/>
      <c r="G697" s="28"/>
      <c r="H697" s="28"/>
    </row>
    <row r="698" spans="4:8" s="25" customFormat="1" ht="11.25" customHeight="1">
      <c r="D698" s="28"/>
      <c r="E698" s="28"/>
      <c r="F698" s="28"/>
      <c r="G698" s="28"/>
      <c r="H698" s="28"/>
    </row>
    <row r="699" spans="4:8" s="25" customFormat="1" ht="11.25" customHeight="1">
      <c r="D699" s="28"/>
      <c r="E699" s="28"/>
      <c r="F699" s="28"/>
      <c r="G699" s="28"/>
      <c r="H699" s="28"/>
    </row>
    <row r="700" spans="4:8" s="25" customFormat="1" ht="11.25" customHeight="1">
      <c r="D700" s="28"/>
      <c r="E700" s="28"/>
      <c r="F700" s="28"/>
      <c r="G700" s="28"/>
      <c r="H700" s="28"/>
    </row>
    <row r="701" spans="4:8" s="25" customFormat="1" ht="11.25" customHeight="1">
      <c r="D701" s="28"/>
      <c r="E701" s="28"/>
      <c r="F701" s="28"/>
      <c r="G701" s="28"/>
      <c r="H701" s="28"/>
    </row>
    <row r="702" spans="4:8" s="25" customFormat="1" ht="11.25" customHeight="1">
      <c r="D702" s="28"/>
      <c r="E702" s="28"/>
      <c r="F702" s="28"/>
      <c r="G702" s="28"/>
      <c r="H702" s="28"/>
    </row>
    <row r="703" spans="4:8" s="25" customFormat="1" ht="11.25" customHeight="1">
      <c r="D703" s="28"/>
      <c r="E703" s="28"/>
      <c r="F703" s="28"/>
      <c r="G703" s="28"/>
      <c r="H703" s="28"/>
    </row>
    <row r="704" spans="4:8" s="25" customFormat="1" ht="11.25" customHeight="1">
      <c r="D704" s="28"/>
      <c r="E704" s="28"/>
      <c r="F704" s="28"/>
      <c r="G704" s="28"/>
      <c r="H704" s="28"/>
    </row>
    <row r="705" spans="4:8" s="25" customFormat="1" ht="11.25" customHeight="1">
      <c r="D705" s="28"/>
      <c r="E705" s="28"/>
      <c r="F705" s="28"/>
      <c r="G705" s="28"/>
      <c r="H705" s="28"/>
    </row>
    <row r="706" spans="4:8" s="25" customFormat="1" ht="11.25" customHeight="1">
      <c r="D706" s="28"/>
      <c r="E706" s="28"/>
      <c r="F706" s="28"/>
      <c r="G706" s="28"/>
      <c r="H706" s="28"/>
    </row>
    <row r="707" spans="4:8" s="25" customFormat="1" ht="11.25" customHeight="1">
      <c r="D707" s="28"/>
      <c r="E707" s="28"/>
      <c r="F707" s="28"/>
      <c r="G707" s="28"/>
      <c r="H707" s="28"/>
    </row>
    <row r="708" spans="4:8" s="25" customFormat="1" ht="11.25" customHeight="1">
      <c r="D708" s="28"/>
      <c r="E708" s="28"/>
      <c r="F708" s="28"/>
      <c r="G708" s="28"/>
      <c r="H708" s="28"/>
    </row>
    <row r="709" spans="4:8" s="25" customFormat="1" ht="11.25" customHeight="1">
      <c r="D709" s="28"/>
      <c r="E709" s="28"/>
      <c r="F709" s="28"/>
      <c r="G709" s="28"/>
      <c r="H709" s="28"/>
    </row>
    <row r="710" spans="4:8" s="25" customFormat="1" ht="11.25" customHeight="1">
      <c r="D710" s="28"/>
      <c r="E710" s="28"/>
      <c r="F710" s="28"/>
      <c r="G710" s="28"/>
      <c r="H710" s="28"/>
    </row>
    <row r="711" spans="4:8" s="25" customFormat="1" ht="11.25" customHeight="1">
      <c r="D711" s="28"/>
      <c r="E711" s="28"/>
      <c r="F711" s="28"/>
      <c r="G711" s="28"/>
      <c r="H711" s="28"/>
    </row>
    <row r="712" spans="4:8" s="25" customFormat="1" ht="11.25" customHeight="1">
      <c r="D712" s="28"/>
      <c r="E712" s="28"/>
      <c r="F712" s="28"/>
      <c r="G712" s="28"/>
      <c r="H712" s="28"/>
    </row>
    <row r="713" spans="4:8" s="25" customFormat="1" ht="11.25" customHeight="1">
      <c r="D713" s="28"/>
      <c r="E713" s="28"/>
      <c r="F713" s="28"/>
      <c r="G713" s="28"/>
      <c r="H713" s="28"/>
    </row>
    <row r="714" spans="4:8" s="25" customFormat="1" ht="11.25" customHeight="1">
      <c r="D714" s="28"/>
      <c r="E714" s="28"/>
      <c r="F714" s="28"/>
      <c r="G714" s="28"/>
      <c r="H714" s="28"/>
    </row>
    <row r="715" spans="4:8" s="25" customFormat="1" ht="11.25" customHeight="1">
      <c r="D715" s="28"/>
      <c r="E715" s="28"/>
      <c r="F715" s="28"/>
      <c r="G715" s="28"/>
      <c r="H715" s="28"/>
    </row>
    <row r="716" spans="4:8" s="25" customFormat="1" ht="11.25" customHeight="1">
      <c r="D716" s="28"/>
      <c r="E716" s="28"/>
      <c r="F716" s="28"/>
      <c r="G716" s="28"/>
      <c r="H716" s="28"/>
    </row>
    <row r="717" spans="4:8" s="25" customFormat="1" ht="11.25" customHeight="1">
      <c r="D717" s="28"/>
      <c r="E717" s="28"/>
      <c r="F717" s="28"/>
      <c r="G717" s="28"/>
      <c r="H717" s="28"/>
    </row>
    <row r="718" spans="4:8" s="25" customFormat="1" ht="11.25" customHeight="1">
      <c r="D718" s="28"/>
      <c r="E718" s="28"/>
      <c r="F718" s="28"/>
      <c r="G718" s="28"/>
      <c r="H718" s="28"/>
    </row>
    <row r="719" spans="4:8" s="25" customFormat="1" ht="11.25" customHeight="1">
      <c r="D719" s="28"/>
      <c r="E719" s="28"/>
      <c r="F719" s="28"/>
      <c r="G719" s="28"/>
      <c r="H719" s="28"/>
    </row>
    <row r="720" spans="4:8" s="25" customFormat="1" ht="11.25" customHeight="1">
      <c r="D720" s="28"/>
      <c r="E720" s="28"/>
      <c r="F720" s="28"/>
      <c r="G720" s="28"/>
      <c r="H720" s="28"/>
    </row>
    <row r="721" spans="4:8" s="25" customFormat="1" ht="11.25" customHeight="1">
      <c r="D721" s="28"/>
      <c r="E721" s="28"/>
      <c r="F721" s="28"/>
      <c r="G721" s="28"/>
      <c r="H721" s="28"/>
    </row>
    <row r="722" spans="4:8" s="25" customFormat="1" ht="11.25" customHeight="1">
      <c r="D722" s="28"/>
      <c r="E722" s="28"/>
      <c r="F722" s="28"/>
      <c r="G722" s="28"/>
      <c r="H722" s="28"/>
    </row>
    <row r="723" spans="4:8" s="25" customFormat="1" ht="11.25" customHeight="1">
      <c r="D723" s="28"/>
      <c r="E723" s="28"/>
      <c r="F723" s="28"/>
      <c r="G723" s="28"/>
      <c r="H723" s="28"/>
    </row>
    <row r="724" spans="4:8" s="25" customFormat="1" ht="11.25" customHeight="1">
      <c r="D724" s="28"/>
      <c r="E724" s="28"/>
      <c r="F724" s="28"/>
      <c r="G724" s="28"/>
      <c r="H724" s="28"/>
    </row>
    <row r="725" spans="4:8" s="25" customFormat="1" ht="11.25" customHeight="1">
      <c r="D725" s="28"/>
      <c r="E725" s="28"/>
      <c r="F725" s="28"/>
      <c r="G725" s="28"/>
      <c r="H725" s="28"/>
    </row>
    <row r="726" spans="4:8" s="25" customFormat="1" ht="11.25" customHeight="1">
      <c r="D726" s="28"/>
      <c r="E726" s="28"/>
      <c r="F726" s="28"/>
      <c r="G726" s="28"/>
      <c r="H726" s="28"/>
    </row>
    <row r="727" spans="4:8" s="25" customFormat="1" ht="11.25" customHeight="1">
      <c r="D727" s="28"/>
      <c r="E727" s="28"/>
      <c r="F727" s="28"/>
      <c r="G727" s="28"/>
      <c r="H727" s="28"/>
    </row>
    <row r="728" spans="4:8" s="25" customFormat="1" ht="11.25" customHeight="1">
      <c r="D728" s="28"/>
      <c r="E728" s="28"/>
      <c r="F728" s="28"/>
      <c r="G728" s="28"/>
      <c r="H728" s="28"/>
    </row>
    <row r="729" spans="4:8" s="25" customFormat="1" ht="11.25" customHeight="1">
      <c r="D729" s="28"/>
      <c r="E729" s="28"/>
      <c r="F729" s="28"/>
      <c r="G729" s="28"/>
      <c r="H729" s="28"/>
    </row>
    <row r="730" spans="4:8" s="25" customFormat="1" ht="11.25" customHeight="1">
      <c r="D730" s="28"/>
      <c r="E730" s="28"/>
      <c r="F730" s="28"/>
      <c r="G730" s="28"/>
      <c r="H730" s="28"/>
    </row>
    <row r="731" spans="4:8" s="25" customFormat="1" ht="11.25" customHeight="1">
      <c r="D731" s="28"/>
      <c r="E731" s="28"/>
      <c r="F731" s="28"/>
      <c r="G731" s="28"/>
      <c r="H731" s="28"/>
    </row>
    <row r="732" spans="4:8" s="25" customFormat="1" ht="11.25" customHeight="1">
      <c r="D732" s="28"/>
      <c r="E732" s="28"/>
      <c r="F732" s="28"/>
      <c r="G732" s="28"/>
      <c r="H732" s="28"/>
    </row>
    <row r="733" spans="4:8" s="25" customFormat="1" ht="11.25" customHeight="1">
      <c r="D733" s="28"/>
      <c r="E733" s="28"/>
      <c r="F733" s="28"/>
      <c r="G733" s="28"/>
      <c r="H733" s="28"/>
    </row>
    <row r="734" spans="4:8" s="25" customFormat="1" ht="11.25" customHeight="1">
      <c r="D734" s="28"/>
      <c r="E734" s="28"/>
      <c r="F734" s="28"/>
      <c r="G734" s="28"/>
      <c r="H734" s="28"/>
    </row>
    <row r="735" spans="4:8" s="25" customFormat="1" ht="11.25" customHeight="1">
      <c r="D735" s="28"/>
      <c r="E735" s="28"/>
      <c r="F735" s="28"/>
      <c r="G735" s="28"/>
      <c r="H735" s="28"/>
    </row>
    <row r="736" spans="4:8" s="25" customFormat="1" ht="11.25" customHeight="1">
      <c r="D736" s="28"/>
      <c r="E736" s="28"/>
      <c r="F736" s="28"/>
      <c r="G736" s="28"/>
      <c r="H736" s="28"/>
    </row>
    <row r="737" spans="4:8" s="25" customFormat="1" ht="11.25" customHeight="1">
      <c r="D737" s="28"/>
      <c r="E737" s="28"/>
      <c r="F737" s="28"/>
      <c r="G737" s="28"/>
      <c r="H737" s="28"/>
    </row>
    <row r="738" spans="4:8" s="25" customFormat="1" ht="11.25" customHeight="1">
      <c r="D738" s="28"/>
      <c r="E738" s="28"/>
      <c r="F738" s="28"/>
      <c r="G738" s="28"/>
      <c r="H738" s="28"/>
    </row>
    <row r="739" spans="4:8" s="25" customFormat="1" ht="11.25" customHeight="1">
      <c r="D739" s="28"/>
      <c r="E739" s="28"/>
      <c r="F739" s="28"/>
      <c r="G739" s="28"/>
      <c r="H739" s="28"/>
    </row>
    <row r="740" spans="4:8" s="25" customFormat="1" ht="11.25" customHeight="1">
      <c r="D740" s="28"/>
      <c r="E740" s="28"/>
      <c r="F740" s="28"/>
      <c r="G740" s="28"/>
      <c r="H740" s="28"/>
    </row>
    <row r="741" spans="4:8" s="25" customFormat="1" ht="11.25" customHeight="1">
      <c r="D741" s="28"/>
      <c r="E741" s="28"/>
      <c r="F741" s="28"/>
      <c r="G741" s="28"/>
      <c r="H741" s="28"/>
    </row>
    <row r="742" spans="4:8" s="25" customFormat="1" ht="11.25" customHeight="1">
      <c r="D742" s="28"/>
      <c r="E742" s="28"/>
      <c r="F742" s="28"/>
      <c r="G742" s="28"/>
      <c r="H742" s="28"/>
    </row>
    <row r="743" spans="4:8" s="25" customFormat="1" ht="11.25" customHeight="1">
      <c r="D743" s="28"/>
      <c r="E743" s="28"/>
      <c r="F743" s="28"/>
      <c r="G743" s="28"/>
      <c r="H743" s="28"/>
    </row>
    <row r="744" spans="4:8" s="25" customFormat="1" ht="11.25" customHeight="1">
      <c r="D744" s="28"/>
      <c r="E744" s="28"/>
      <c r="F744" s="28"/>
      <c r="G744" s="28"/>
      <c r="H744" s="28"/>
    </row>
    <row r="745" spans="4:8" s="25" customFormat="1" ht="11.25" customHeight="1">
      <c r="D745" s="28"/>
      <c r="E745" s="28"/>
      <c r="F745" s="28"/>
      <c r="G745" s="28"/>
      <c r="H745" s="28"/>
    </row>
    <row r="746" spans="4:8" s="25" customFormat="1" ht="11.25" customHeight="1">
      <c r="D746" s="28"/>
      <c r="E746" s="28"/>
      <c r="F746" s="28"/>
      <c r="G746" s="28"/>
      <c r="H746" s="28"/>
    </row>
    <row r="747" spans="4:8" s="25" customFormat="1" ht="11.25" customHeight="1">
      <c r="D747" s="28"/>
      <c r="E747" s="28"/>
      <c r="F747" s="28"/>
      <c r="G747" s="28"/>
      <c r="H747" s="28"/>
    </row>
    <row r="748" spans="4:8" s="25" customFormat="1" ht="11.25" customHeight="1">
      <c r="D748" s="28"/>
      <c r="E748" s="28"/>
      <c r="F748" s="28"/>
      <c r="G748" s="28"/>
      <c r="H748" s="28"/>
    </row>
    <row r="749" spans="4:8" s="25" customFormat="1" ht="11.25" customHeight="1">
      <c r="D749" s="28"/>
      <c r="E749" s="28"/>
      <c r="F749" s="28"/>
      <c r="G749" s="28"/>
      <c r="H749" s="28"/>
    </row>
    <row r="750" spans="4:8" s="25" customFormat="1" ht="11.25" customHeight="1">
      <c r="D750" s="28"/>
      <c r="E750" s="28"/>
      <c r="F750" s="28"/>
      <c r="G750" s="28"/>
      <c r="H750" s="28"/>
    </row>
    <row r="751" spans="4:8" s="25" customFormat="1" ht="11.25" customHeight="1">
      <c r="D751" s="28"/>
      <c r="E751" s="28"/>
      <c r="F751" s="28"/>
      <c r="G751" s="28"/>
      <c r="H751" s="28"/>
    </row>
    <row r="752" spans="4:8" s="25" customFormat="1" ht="11.25" customHeight="1">
      <c r="D752" s="28"/>
      <c r="E752" s="28"/>
      <c r="F752" s="28"/>
      <c r="G752" s="28"/>
      <c r="H752" s="28"/>
    </row>
    <row r="753" spans="4:8" s="25" customFormat="1" ht="11.25" customHeight="1">
      <c r="D753" s="28"/>
      <c r="E753" s="28"/>
      <c r="F753" s="28"/>
      <c r="G753" s="28"/>
      <c r="H753" s="28"/>
    </row>
    <row r="754" spans="4:8" s="25" customFormat="1" ht="11.25" customHeight="1">
      <c r="D754" s="28"/>
      <c r="E754" s="28"/>
      <c r="F754" s="28"/>
      <c r="G754" s="28"/>
      <c r="H754" s="28"/>
    </row>
    <row r="755" spans="4:8" s="25" customFormat="1" ht="11.25" customHeight="1">
      <c r="D755" s="28"/>
      <c r="E755" s="28"/>
      <c r="F755" s="28"/>
      <c r="G755" s="28"/>
      <c r="H755" s="28"/>
    </row>
    <row r="756" spans="4:8" s="25" customFormat="1" ht="11.25" customHeight="1">
      <c r="D756" s="28"/>
      <c r="E756" s="28"/>
      <c r="F756" s="28"/>
      <c r="G756" s="28"/>
      <c r="H756" s="28"/>
    </row>
    <row r="757" spans="4:8" s="25" customFormat="1" ht="11.25" customHeight="1">
      <c r="D757" s="28"/>
      <c r="E757" s="28"/>
      <c r="F757" s="28"/>
      <c r="G757" s="28"/>
      <c r="H757" s="28"/>
    </row>
    <row r="758" spans="4:8" s="25" customFormat="1" ht="11.25" customHeight="1">
      <c r="D758" s="28"/>
      <c r="E758" s="28"/>
      <c r="F758" s="28"/>
      <c r="G758" s="28"/>
      <c r="H758" s="28"/>
    </row>
    <row r="759" spans="4:8" s="25" customFormat="1" ht="11.25" customHeight="1">
      <c r="D759" s="28"/>
      <c r="E759" s="28"/>
      <c r="F759" s="28"/>
      <c r="G759" s="28"/>
      <c r="H759" s="28"/>
    </row>
    <row r="760" spans="4:8" s="25" customFormat="1" ht="11.25" customHeight="1">
      <c r="D760" s="28"/>
      <c r="E760" s="28"/>
      <c r="F760" s="28"/>
      <c r="G760" s="28"/>
      <c r="H760" s="28"/>
    </row>
    <row r="761" spans="4:8" s="25" customFormat="1" ht="11.25" customHeight="1">
      <c r="D761" s="28"/>
      <c r="E761" s="28"/>
      <c r="F761" s="28"/>
      <c r="G761" s="28"/>
      <c r="H761" s="28"/>
    </row>
    <row r="762" spans="4:8" s="25" customFormat="1" ht="11.25" customHeight="1">
      <c r="D762" s="28"/>
      <c r="E762" s="28"/>
      <c r="F762" s="28"/>
      <c r="G762" s="28"/>
      <c r="H762" s="28"/>
    </row>
    <row r="763" spans="4:8" s="25" customFormat="1" ht="11.25" customHeight="1">
      <c r="D763" s="28"/>
      <c r="E763" s="28"/>
      <c r="F763" s="28"/>
      <c r="G763" s="28"/>
      <c r="H763" s="28"/>
    </row>
    <row r="764" spans="4:8" s="25" customFormat="1" ht="11.25" customHeight="1">
      <c r="D764" s="28"/>
      <c r="E764" s="28"/>
      <c r="F764" s="28"/>
      <c r="G764" s="28"/>
      <c r="H764" s="28"/>
    </row>
    <row r="765" spans="4:8" s="25" customFormat="1" ht="11.25" customHeight="1">
      <c r="D765" s="28"/>
      <c r="E765" s="28"/>
      <c r="F765" s="28"/>
      <c r="G765" s="28"/>
      <c r="H765" s="28"/>
    </row>
    <row r="766" spans="4:8" s="25" customFormat="1" ht="11.25" customHeight="1">
      <c r="D766" s="28"/>
      <c r="E766" s="28"/>
      <c r="F766" s="28"/>
      <c r="G766" s="28"/>
      <c r="H766" s="28"/>
    </row>
    <row r="767" spans="4:8" s="25" customFormat="1" ht="11.25" customHeight="1">
      <c r="D767" s="28"/>
      <c r="E767" s="28"/>
      <c r="F767" s="28"/>
      <c r="G767" s="28"/>
      <c r="H767" s="28"/>
    </row>
    <row r="768" spans="4:8" s="25" customFormat="1" ht="11.25" customHeight="1">
      <c r="D768" s="28"/>
      <c r="E768" s="28"/>
      <c r="F768" s="28"/>
      <c r="G768" s="28"/>
      <c r="H768" s="28"/>
    </row>
    <row r="769" spans="4:8" s="25" customFormat="1" ht="11.25" customHeight="1">
      <c r="D769" s="28"/>
      <c r="E769" s="28"/>
      <c r="F769" s="28"/>
      <c r="G769" s="28"/>
      <c r="H769" s="28"/>
    </row>
    <row r="770" spans="4:8" s="25" customFormat="1" ht="11.25" customHeight="1">
      <c r="D770" s="28"/>
      <c r="E770" s="28"/>
      <c r="F770" s="28"/>
      <c r="G770" s="28"/>
      <c r="H770" s="28"/>
    </row>
    <row r="771" spans="4:8" s="25" customFormat="1" ht="11.25" customHeight="1">
      <c r="D771" s="28"/>
      <c r="E771" s="28"/>
      <c r="F771" s="28"/>
      <c r="G771" s="28"/>
      <c r="H771" s="28"/>
    </row>
    <row r="772" spans="4:8" s="25" customFormat="1" ht="11.25" customHeight="1">
      <c r="D772" s="28"/>
      <c r="E772" s="28"/>
      <c r="F772" s="28"/>
      <c r="G772" s="28"/>
      <c r="H772" s="28"/>
    </row>
    <row r="773" spans="4:8" s="25" customFormat="1" ht="11.25" customHeight="1">
      <c r="D773" s="28"/>
      <c r="E773" s="28"/>
      <c r="F773" s="28"/>
      <c r="G773" s="28"/>
      <c r="H773" s="28"/>
    </row>
    <row r="774" spans="4:8" s="25" customFormat="1" ht="11.25" customHeight="1">
      <c r="D774" s="28"/>
      <c r="E774" s="28"/>
      <c r="F774" s="28"/>
      <c r="G774" s="28"/>
      <c r="H774" s="28"/>
    </row>
    <row r="775" spans="4:8" s="25" customFormat="1" ht="11.25" customHeight="1">
      <c r="D775" s="28"/>
      <c r="E775" s="28"/>
      <c r="F775" s="28"/>
      <c r="G775" s="28"/>
      <c r="H775" s="28"/>
    </row>
    <row r="776" spans="4:8" s="25" customFormat="1" ht="11.25" customHeight="1">
      <c r="D776" s="28"/>
      <c r="E776" s="28"/>
      <c r="F776" s="28"/>
      <c r="G776" s="28"/>
      <c r="H776" s="28"/>
    </row>
    <row r="777" spans="4:8" s="25" customFormat="1" ht="11.25" customHeight="1">
      <c r="D777" s="28"/>
      <c r="E777" s="28"/>
      <c r="F777" s="28"/>
      <c r="G777" s="28"/>
      <c r="H777" s="28"/>
    </row>
    <row r="778" spans="4:8" s="25" customFormat="1" ht="11.25" customHeight="1">
      <c r="D778" s="28"/>
      <c r="E778" s="28"/>
      <c r="F778" s="28"/>
      <c r="G778" s="28"/>
      <c r="H778" s="28"/>
    </row>
    <row r="779" spans="4:8" s="25" customFormat="1" ht="11.25" customHeight="1">
      <c r="D779" s="28"/>
      <c r="E779" s="28"/>
      <c r="F779" s="28"/>
      <c r="G779" s="28"/>
      <c r="H779" s="28"/>
    </row>
    <row r="780" spans="4:8" s="25" customFormat="1" ht="11.25" customHeight="1">
      <c r="D780" s="28"/>
      <c r="E780" s="28"/>
      <c r="F780" s="28"/>
      <c r="G780" s="28"/>
      <c r="H780" s="28"/>
    </row>
    <row r="781" spans="4:8" s="25" customFormat="1" ht="11.25" customHeight="1">
      <c r="D781" s="28"/>
      <c r="E781" s="28"/>
      <c r="F781" s="28"/>
      <c r="G781" s="28"/>
      <c r="H781" s="28"/>
    </row>
    <row r="782" spans="4:8" s="25" customFormat="1" ht="11.25" customHeight="1">
      <c r="D782" s="28"/>
      <c r="E782" s="28"/>
      <c r="F782" s="28"/>
      <c r="G782" s="28"/>
      <c r="H782" s="28"/>
    </row>
    <row r="783" spans="4:8" s="25" customFormat="1" ht="11.25" customHeight="1">
      <c r="D783" s="28"/>
      <c r="E783" s="28"/>
      <c r="F783" s="28"/>
      <c r="G783" s="28"/>
      <c r="H783" s="28"/>
    </row>
    <row r="784" spans="4:8" s="25" customFormat="1" ht="11.25" customHeight="1">
      <c r="D784" s="28"/>
      <c r="E784" s="28"/>
      <c r="F784" s="28"/>
      <c r="G784" s="28"/>
      <c r="H784" s="28"/>
    </row>
    <row r="785" spans="4:8" s="25" customFormat="1" ht="11.25" customHeight="1">
      <c r="D785" s="28"/>
      <c r="E785" s="28"/>
      <c r="F785" s="28"/>
      <c r="G785" s="28"/>
      <c r="H785" s="28"/>
    </row>
    <row r="786" spans="4:8" s="25" customFormat="1" ht="11.25" customHeight="1">
      <c r="D786" s="28"/>
      <c r="E786" s="28"/>
      <c r="F786" s="28"/>
      <c r="G786" s="28"/>
      <c r="H786" s="28"/>
    </row>
    <row r="787" spans="4:8" s="25" customFormat="1" ht="11.25" customHeight="1">
      <c r="D787" s="28"/>
      <c r="E787" s="28"/>
      <c r="F787" s="28"/>
      <c r="G787" s="28"/>
      <c r="H787" s="28"/>
    </row>
    <row r="788" spans="4:8" s="25" customFormat="1" ht="11.25" customHeight="1">
      <c r="D788" s="28"/>
      <c r="E788" s="28"/>
      <c r="F788" s="28"/>
      <c r="G788" s="28"/>
      <c r="H788" s="28"/>
    </row>
    <row r="789" spans="4:8" s="25" customFormat="1" ht="11.25" customHeight="1">
      <c r="D789" s="28"/>
      <c r="E789" s="28"/>
      <c r="F789" s="28"/>
      <c r="G789" s="28"/>
      <c r="H789" s="28"/>
    </row>
    <row r="790" spans="4:8" s="25" customFormat="1" ht="11.25" customHeight="1">
      <c r="D790" s="28"/>
      <c r="E790" s="28"/>
      <c r="F790" s="28"/>
      <c r="G790" s="28"/>
      <c r="H790" s="28"/>
    </row>
    <row r="791" spans="4:8" s="25" customFormat="1" ht="11.25" customHeight="1">
      <c r="D791" s="28"/>
      <c r="E791" s="28"/>
      <c r="F791" s="28"/>
      <c r="G791" s="28"/>
      <c r="H791" s="28"/>
    </row>
    <row r="792" spans="4:8" s="25" customFormat="1" ht="11.25" customHeight="1">
      <c r="D792" s="28"/>
      <c r="E792" s="28"/>
      <c r="F792" s="28"/>
      <c r="G792" s="28"/>
      <c r="H792" s="28"/>
    </row>
    <row r="793" spans="4:8" s="25" customFormat="1" ht="11.25" customHeight="1">
      <c r="D793" s="28"/>
      <c r="E793" s="28"/>
      <c r="F793" s="28"/>
      <c r="G793" s="28"/>
      <c r="H793" s="28"/>
    </row>
    <row r="794" spans="4:8" s="25" customFormat="1" ht="11.25" customHeight="1">
      <c r="D794" s="28"/>
      <c r="E794" s="28"/>
      <c r="F794" s="28"/>
      <c r="G794" s="28"/>
      <c r="H794" s="28"/>
    </row>
    <row r="795" spans="4:8" s="25" customFormat="1" ht="11.25" customHeight="1">
      <c r="D795" s="28"/>
      <c r="E795" s="28"/>
      <c r="F795" s="28"/>
      <c r="G795" s="28"/>
      <c r="H795" s="28"/>
    </row>
    <row r="796" spans="4:8" s="25" customFormat="1" ht="11.25" customHeight="1">
      <c r="D796" s="28"/>
      <c r="E796" s="28"/>
      <c r="F796" s="28"/>
      <c r="G796" s="28"/>
      <c r="H796" s="28"/>
    </row>
    <row r="797" spans="4:8" s="25" customFormat="1" ht="11.25" customHeight="1">
      <c r="D797" s="28"/>
      <c r="E797" s="28"/>
      <c r="F797" s="28"/>
      <c r="G797" s="28"/>
      <c r="H797" s="28"/>
    </row>
    <row r="798" spans="4:8" s="25" customFormat="1" ht="11.25" customHeight="1">
      <c r="D798" s="28"/>
      <c r="E798" s="28"/>
      <c r="F798" s="28"/>
      <c r="G798" s="28"/>
      <c r="H798" s="28"/>
    </row>
    <row r="799" spans="4:8" s="25" customFormat="1" ht="11.25" customHeight="1">
      <c r="D799" s="28"/>
      <c r="E799" s="28"/>
      <c r="F799" s="28"/>
      <c r="G799" s="28"/>
      <c r="H799" s="28"/>
    </row>
    <row r="800" spans="4:8" s="25" customFormat="1" ht="11.25" customHeight="1">
      <c r="D800" s="28"/>
      <c r="E800" s="28"/>
      <c r="F800" s="28"/>
      <c r="G800" s="28"/>
      <c r="H800" s="28"/>
    </row>
    <row r="801" spans="4:8" s="25" customFormat="1" ht="11.25" customHeight="1">
      <c r="D801" s="28"/>
      <c r="E801" s="28"/>
      <c r="F801" s="28"/>
      <c r="G801" s="28"/>
      <c r="H801" s="28"/>
    </row>
    <row r="802" spans="4:8" s="25" customFormat="1" ht="11.25" customHeight="1">
      <c r="D802" s="28"/>
      <c r="E802" s="28"/>
      <c r="F802" s="28"/>
      <c r="G802" s="28"/>
      <c r="H802" s="28"/>
    </row>
    <row r="803" spans="4:8" s="25" customFormat="1" ht="11.25" customHeight="1">
      <c r="D803" s="28"/>
      <c r="E803" s="28"/>
      <c r="F803" s="28"/>
      <c r="G803" s="28"/>
      <c r="H803" s="28"/>
    </row>
    <row r="804" spans="4:8" s="25" customFormat="1" ht="11.25" customHeight="1">
      <c r="D804" s="28"/>
      <c r="E804" s="28"/>
      <c r="F804" s="28"/>
      <c r="G804" s="28"/>
      <c r="H804" s="28"/>
    </row>
    <row r="805" spans="4:8" s="25" customFormat="1" ht="11.25" customHeight="1">
      <c r="D805" s="28"/>
      <c r="E805" s="28"/>
      <c r="F805" s="28"/>
      <c r="G805" s="28"/>
      <c r="H805" s="28"/>
    </row>
    <row r="806" spans="4:8" s="25" customFormat="1" ht="11.25" customHeight="1">
      <c r="D806" s="28"/>
      <c r="E806" s="28"/>
      <c r="F806" s="28"/>
      <c r="G806" s="28"/>
      <c r="H806" s="28"/>
    </row>
    <row r="807" spans="4:8" s="25" customFormat="1" ht="11.25" customHeight="1">
      <c r="D807" s="28"/>
      <c r="E807" s="28"/>
      <c r="F807" s="28"/>
      <c r="G807" s="28"/>
      <c r="H807" s="28"/>
    </row>
    <row r="808" spans="4:8" s="25" customFormat="1" ht="11.25" customHeight="1">
      <c r="D808" s="28"/>
      <c r="E808" s="28"/>
      <c r="F808" s="28"/>
      <c r="G808" s="28"/>
      <c r="H808" s="28"/>
    </row>
    <row r="809" spans="4:8" s="25" customFormat="1" ht="11.25" customHeight="1">
      <c r="D809" s="28"/>
      <c r="E809" s="28"/>
      <c r="F809" s="28"/>
      <c r="G809" s="28"/>
      <c r="H809" s="28"/>
    </row>
    <row r="810" spans="4:8" s="25" customFormat="1" ht="11.25" customHeight="1">
      <c r="D810" s="28"/>
      <c r="E810" s="28"/>
      <c r="F810" s="28"/>
      <c r="G810" s="28"/>
      <c r="H810" s="28"/>
    </row>
    <row r="811" spans="4:8" s="25" customFormat="1" ht="11.25" customHeight="1">
      <c r="D811" s="28"/>
      <c r="E811" s="28"/>
      <c r="F811" s="28"/>
      <c r="G811" s="28"/>
      <c r="H811" s="28"/>
    </row>
    <row r="812" spans="4:8" s="25" customFormat="1" ht="11.25" customHeight="1">
      <c r="D812" s="28"/>
      <c r="E812" s="28"/>
      <c r="F812" s="28"/>
      <c r="G812" s="28"/>
      <c r="H812" s="28"/>
    </row>
    <row r="813" spans="4:8" s="25" customFormat="1" ht="11.25" customHeight="1">
      <c r="D813" s="28"/>
      <c r="E813" s="28"/>
      <c r="F813" s="28"/>
      <c r="G813" s="28"/>
      <c r="H813" s="28"/>
    </row>
    <row r="814" spans="4:8" s="25" customFormat="1" ht="11.25" customHeight="1">
      <c r="D814" s="28"/>
      <c r="E814" s="28"/>
      <c r="F814" s="28"/>
      <c r="G814" s="28"/>
      <c r="H814" s="28"/>
    </row>
    <row r="815" spans="4:8" s="25" customFormat="1" ht="11.25" customHeight="1">
      <c r="D815" s="28"/>
      <c r="E815" s="28"/>
      <c r="F815" s="28"/>
      <c r="G815" s="28"/>
      <c r="H815" s="28"/>
    </row>
    <row r="816" spans="4:8" s="25" customFormat="1" ht="11.25" customHeight="1">
      <c r="D816" s="28"/>
      <c r="E816" s="28"/>
      <c r="F816" s="28"/>
      <c r="G816" s="28"/>
      <c r="H816" s="28"/>
    </row>
    <row r="817" spans="4:8" s="25" customFormat="1" ht="11.25" customHeight="1">
      <c r="D817" s="28"/>
      <c r="E817" s="28"/>
      <c r="F817" s="28"/>
      <c r="G817" s="28"/>
      <c r="H817" s="28"/>
    </row>
    <row r="818" spans="4:8" s="25" customFormat="1" ht="11.25" customHeight="1">
      <c r="D818" s="28"/>
      <c r="E818" s="28"/>
      <c r="F818" s="28"/>
      <c r="G818" s="28"/>
      <c r="H818" s="28"/>
    </row>
    <row r="819" spans="4:8" s="25" customFormat="1" ht="11.25" customHeight="1">
      <c r="D819" s="28"/>
      <c r="E819" s="28"/>
      <c r="F819" s="28"/>
      <c r="G819" s="28"/>
      <c r="H819" s="28"/>
    </row>
    <row r="820" spans="4:8" s="25" customFormat="1" ht="11.25" customHeight="1">
      <c r="D820" s="28"/>
      <c r="E820" s="28"/>
      <c r="F820" s="28"/>
      <c r="G820" s="28"/>
      <c r="H820" s="28"/>
    </row>
    <row r="821" spans="4:8" s="25" customFormat="1" ht="11.25" customHeight="1">
      <c r="D821" s="28"/>
      <c r="E821" s="28"/>
      <c r="F821" s="28"/>
      <c r="G821" s="28"/>
      <c r="H821" s="28"/>
    </row>
    <row r="822" spans="4:8" s="25" customFormat="1" ht="11.25" customHeight="1">
      <c r="D822" s="28"/>
      <c r="E822" s="28"/>
      <c r="F822" s="28"/>
      <c r="G822" s="28"/>
      <c r="H822" s="28"/>
    </row>
    <row r="823" spans="4:8" s="25" customFormat="1" ht="11.25" customHeight="1">
      <c r="D823" s="28"/>
      <c r="E823" s="28"/>
      <c r="F823" s="28"/>
      <c r="G823" s="28"/>
      <c r="H823" s="28"/>
    </row>
    <row r="824" spans="4:8" s="25" customFormat="1" ht="11.25" customHeight="1">
      <c r="D824" s="28"/>
      <c r="E824" s="28"/>
      <c r="F824" s="28"/>
      <c r="G824" s="28"/>
      <c r="H824" s="28"/>
    </row>
    <row r="825" spans="4:8" s="25" customFormat="1" ht="11.25" customHeight="1">
      <c r="D825" s="28"/>
      <c r="E825" s="28"/>
      <c r="F825" s="28"/>
      <c r="G825" s="28"/>
      <c r="H825" s="28"/>
    </row>
    <row r="826" spans="4:8" s="25" customFormat="1" ht="11.25" customHeight="1">
      <c r="D826" s="28"/>
      <c r="E826" s="28"/>
      <c r="F826" s="28"/>
      <c r="G826" s="28"/>
      <c r="H826" s="28"/>
    </row>
    <row r="827" spans="4:8" s="25" customFormat="1" ht="11.25" customHeight="1">
      <c r="D827" s="28"/>
      <c r="E827" s="28"/>
      <c r="F827" s="28"/>
      <c r="G827" s="28"/>
      <c r="H827" s="28"/>
    </row>
    <row r="828" spans="4:8" s="25" customFormat="1" ht="11.25" customHeight="1">
      <c r="D828" s="28"/>
      <c r="E828" s="28"/>
      <c r="F828" s="28"/>
      <c r="G828" s="28"/>
      <c r="H828" s="28"/>
    </row>
    <row r="829" spans="4:8" s="25" customFormat="1" ht="11.25" customHeight="1">
      <c r="D829" s="28"/>
      <c r="E829" s="28"/>
      <c r="F829" s="28"/>
      <c r="G829" s="28"/>
      <c r="H829" s="28"/>
    </row>
    <row r="830" spans="4:8" s="25" customFormat="1" ht="11.25" customHeight="1">
      <c r="D830" s="28"/>
      <c r="E830" s="28"/>
      <c r="F830" s="28"/>
      <c r="G830" s="28"/>
      <c r="H830" s="28"/>
    </row>
    <row r="831" spans="4:8" s="25" customFormat="1" ht="11.25" customHeight="1">
      <c r="D831" s="28"/>
      <c r="E831" s="28"/>
      <c r="F831" s="28"/>
      <c r="G831" s="28"/>
      <c r="H831" s="28"/>
    </row>
    <row r="832" spans="4:8" s="25" customFormat="1" ht="11.25" customHeight="1">
      <c r="D832" s="28"/>
      <c r="E832" s="28"/>
      <c r="F832" s="28"/>
      <c r="G832" s="28"/>
      <c r="H832" s="28"/>
    </row>
    <row r="833" spans="4:8" s="25" customFormat="1" ht="11.25" customHeight="1">
      <c r="D833" s="28"/>
      <c r="E833" s="28"/>
      <c r="F833" s="28"/>
      <c r="G833" s="28"/>
      <c r="H833" s="28"/>
    </row>
    <row r="834" spans="4:8" s="25" customFormat="1" ht="11.25" customHeight="1">
      <c r="D834" s="28"/>
      <c r="E834" s="28"/>
      <c r="F834" s="28"/>
      <c r="G834" s="28"/>
      <c r="H834" s="28"/>
    </row>
    <row r="835" spans="4:8" s="25" customFormat="1" ht="11.25" customHeight="1">
      <c r="D835" s="28"/>
      <c r="E835" s="28"/>
      <c r="F835" s="28"/>
      <c r="G835" s="28"/>
      <c r="H835" s="28"/>
    </row>
    <row r="836" spans="4:8" s="25" customFormat="1" ht="11.25" customHeight="1">
      <c r="D836" s="28"/>
      <c r="E836" s="28"/>
      <c r="F836" s="28"/>
      <c r="G836" s="28"/>
      <c r="H836" s="28"/>
    </row>
    <row r="837" spans="4:8" s="25" customFormat="1" ht="11.25" customHeight="1">
      <c r="D837" s="28"/>
      <c r="E837" s="28"/>
      <c r="F837" s="28"/>
      <c r="G837" s="28"/>
      <c r="H837" s="28"/>
    </row>
    <row r="838" spans="4:8" s="25" customFormat="1" ht="11.25" customHeight="1">
      <c r="D838" s="28"/>
      <c r="E838" s="28"/>
      <c r="F838" s="28"/>
      <c r="G838" s="28"/>
      <c r="H838" s="28"/>
    </row>
    <row r="839" spans="4:8" s="25" customFormat="1" ht="11.25" customHeight="1">
      <c r="D839" s="28"/>
      <c r="E839" s="28"/>
      <c r="F839" s="28"/>
      <c r="G839" s="28"/>
      <c r="H839" s="28"/>
    </row>
    <row r="840" spans="4:8" s="25" customFormat="1" ht="11.25" customHeight="1">
      <c r="D840" s="28"/>
      <c r="E840" s="28"/>
      <c r="F840" s="28"/>
      <c r="G840" s="28"/>
      <c r="H840" s="28"/>
    </row>
    <row r="841" spans="4:8" s="25" customFormat="1" ht="11.25" customHeight="1">
      <c r="D841" s="28"/>
      <c r="E841" s="28"/>
      <c r="F841" s="28"/>
      <c r="G841" s="28"/>
      <c r="H841" s="28"/>
    </row>
    <row r="842" spans="4:8" s="25" customFormat="1" ht="11.25" customHeight="1">
      <c r="D842" s="28"/>
      <c r="E842" s="28"/>
      <c r="F842" s="28"/>
      <c r="G842" s="28"/>
      <c r="H842" s="28"/>
    </row>
    <row r="843" spans="4:8" s="25" customFormat="1" ht="11.25" customHeight="1">
      <c r="D843" s="28"/>
      <c r="E843" s="28"/>
      <c r="F843" s="28"/>
      <c r="G843" s="28"/>
      <c r="H843" s="28"/>
    </row>
    <row r="844" spans="4:8" s="25" customFormat="1" ht="11.25" customHeight="1">
      <c r="D844" s="28"/>
      <c r="E844" s="28"/>
      <c r="F844" s="28"/>
      <c r="G844" s="28"/>
      <c r="H844" s="28"/>
    </row>
    <row r="845" spans="4:8" s="25" customFormat="1" ht="11.25" customHeight="1">
      <c r="D845" s="28"/>
      <c r="E845" s="28"/>
      <c r="F845" s="28"/>
      <c r="G845" s="28"/>
      <c r="H845" s="28"/>
    </row>
    <row r="846" spans="4:8" s="25" customFormat="1" ht="11.25" customHeight="1">
      <c r="D846" s="28"/>
      <c r="E846" s="28"/>
      <c r="F846" s="28"/>
      <c r="G846" s="28"/>
      <c r="H846" s="28"/>
    </row>
    <row r="847" spans="4:8" s="25" customFormat="1" ht="11.25" customHeight="1">
      <c r="D847" s="28"/>
      <c r="E847" s="28"/>
      <c r="F847" s="28"/>
      <c r="G847" s="28"/>
      <c r="H847" s="28"/>
    </row>
    <row r="848" spans="4:8" s="25" customFormat="1" ht="11.25" customHeight="1">
      <c r="D848" s="28"/>
      <c r="E848" s="28"/>
      <c r="F848" s="28"/>
      <c r="G848" s="28"/>
      <c r="H848" s="28"/>
    </row>
    <row r="849" spans="4:8" s="25" customFormat="1" ht="11.25" customHeight="1">
      <c r="D849" s="28"/>
      <c r="E849" s="28"/>
      <c r="F849" s="28"/>
      <c r="G849" s="28"/>
      <c r="H849" s="28"/>
    </row>
    <row r="850" spans="4:8" s="25" customFormat="1" ht="11.25" customHeight="1">
      <c r="D850" s="28"/>
      <c r="E850" s="28"/>
      <c r="F850" s="28"/>
      <c r="G850" s="28"/>
      <c r="H850" s="28"/>
    </row>
    <row r="851" spans="4:8" s="25" customFormat="1" ht="11.25" customHeight="1">
      <c r="D851" s="28"/>
      <c r="E851" s="28"/>
      <c r="F851" s="28"/>
      <c r="G851" s="28"/>
      <c r="H851" s="28"/>
    </row>
    <row r="852" spans="4:8" s="25" customFormat="1" ht="11.25" customHeight="1">
      <c r="D852" s="28"/>
      <c r="E852" s="28"/>
      <c r="F852" s="28"/>
      <c r="G852" s="28"/>
      <c r="H852" s="28"/>
    </row>
    <row r="853" spans="4:8" s="25" customFormat="1" ht="11.25" customHeight="1">
      <c r="D853" s="28"/>
      <c r="E853" s="28"/>
      <c r="F853" s="28"/>
      <c r="G853" s="28"/>
      <c r="H853" s="28"/>
    </row>
    <row r="854" spans="4:8" s="25" customFormat="1" ht="11.25" customHeight="1">
      <c r="D854" s="28"/>
      <c r="E854" s="28"/>
      <c r="F854" s="28"/>
      <c r="G854" s="28"/>
      <c r="H854" s="28"/>
    </row>
    <row r="855" spans="4:8" s="25" customFormat="1" ht="11.25" customHeight="1">
      <c r="D855" s="28"/>
      <c r="E855" s="28"/>
      <c r="F855" s="28"/>
      <c r="G855" s="28"/>
      <c r="H855" s="28"/>
    </row>
    <row r="856" spans="4:8" s="25" customFormat="1" ht="11.25" customHeight="1">
      <c r="D856" s="28"/>
      <c r="E856" s="28"/>
      <c r="F856" s="28"/>
      <c r="G856" s="28"/>
      <c r="H856" s="28"/>
    </row>
    <row r="857" spans="4:8" s="25" customFormat="1" ht="11.25" customHeight="1">
      <c r="D857" s="28"/>
      <c r="E857" s="28"/>
      <c r="F857" s="28"/>
      <c r="G857" s="28"/>
      <c r="H857" s="28"/>
    </row>
    <row r="858" spans="4:8" s="25" customFormat="1" ht="11.25" customHeight="1">
      <c r="D858" s="28"/>
      <c r="E858" s="28"/>
      <c r="F858" s="28"/>
      <c r="G858" s="28"/>
      <c r="H858" s="28"/>
    </row>
    <row r="859" spans="4:8" s="25" customFormat="1" ht="11.25" customHeight="1">
      <c r="D859" s="28"/>
      <c r="E859" s="28"/>
      <c r="F859" s="28"/>
      <c r="G859" s="28"/>
      <c r="H859" s="28"/>
    </row>
    <row r="860" spans="4:8" s="25" customFormat="1" ht="11.25" customHeight="1">
      <c r="D860" s="28"/>
      <c r="E860" s="28"/>
      <c r="F860" s="28"/>
      <c r="G860" s="28"/>
      <c r="H860" s="28"/>
    </row>
    <row r="861" spans="4:8" s="25" customFormat="1" ht="11.25" customHeight="1">
      <c r="D861" s="28"/>
      <c r="E861" s="28"/>
      <c r="F861" s="28"/>
      <c r="G861" s="28"/>
      <c r="H861" s="28"/>
    </row>
    <row r="862" spans="4:8" s="25" customFormat="1" ht="11.25" customHeight="1">
      <c r="D862" s="28"/>
      <c r="E862" s="28"/>
      <c r="F862" s="28"/>
      <c r="G862" s="28"/>
      <c r="H862" s="28"/>
    </row>
    <row r="863" spans="4:8" s="25" customFormat="1" ht="11.25" customHeight="1">
      <c r="D863" s="28"/>
      <c r="E863" s="28"/>
      <c r="F863" s="28"/>
      <c r="G863" s="28"/>
      <c r="H863" s="28"/>
    </row>
    <row r="864" spans="4:8" s="25" customFormat="1" ht="11.25" customHeight="1">
      <c r="D864" s="28"/>
      <c r="E864" s="28"/>
      <c r="F864" s="28"/>
      <c r="G864" s="28"/>
      <c r="H864" s="28"/>
    </row>
    <row r="865" spans="4:8" s="25" customFormat="1" ht="11.25" customHeight="1">
      <c r="D865" s="28"/>
      <c r="E865" s="28"/>
      <c r="F865" s="28"/>
      <c r="G865" s="28"/>
      <c r="H865" s="28"/>
    </row>
    <row r="866" spans="4:8" s="25" customFormat="1" ht="11.25" customHeight="1">
      <c r="D866" s="28"/>
      <c r="E866" s="28"/>
      <c r="F866" s="28"/>
      <c r="G866" s="28"/>
      <c r="H866" s="28"/>
    </row>
    <row r="867" spans="4:8" s="25" customFormat="1" ht="11.25" customHeight="1">
      <c r="D867" s="28"/>
      <c r="E867" s="28"/>
      <c r="F867" s="28"/>
      <c r="G867" s="28"/>
      <c r="H867" s="28"/>
    </row>
    <row r="868" spans="4:8" s="25" customFormat="1" ht="11.25" customHeight="1">
      <c r="D868" s="28"/>
      <c r="E868" s="28"/>
      <c r="F868" s="28"/>
      <c r="G868" s="28"/>
      <c r="H868" s="28"/>
    </row>
    <row r="869" spans="4:8" s="25" customFormat="1" ht="11.25" customHeight="1">
      <c r="D869" s="28"/>
      <c r="E869" s="28"/>
      <c r="F869" s="28"/>
      <c r="G869" s="28"/>
      <c r="H869" s="28"/>
    </row>
    <row r="870" spans="4:8" s="25" customFormat="1" ht="11.25" customHeight="1">
      <c r="D870" s="28"/>
      <c r="E870" s="28"/>
      <c r="F870" s="28"/>
      <c r="G870" s="28"/>
      <c r="H870" s="28"/>
    </row>
    <row r="871" spans="4:8" s="25" customFormat="1" ht="11.25" customHeight="1">
      <c r="D871" s="28"/>
      <c r="E871" s="28"/>
      <c r="F871" s="28"/>
      <c r="G871" s="28"/>
      <c r="H871" s="28"/>
    </row>
    <row r="872" spans="4:8" s="25" customFormat="1" ht="11.25" customHeight="1">
      <c r="D872" s="28"/>
      <c r="E872" s="28"/>
      <c r="F872" s="28"/>
      <c r="G872" s="28"/>
      <c r="H872" s="28"/>
    </row>
    <row r="873" spans="4:8" s="25" customFormat="1" ht="11.25" customHeight="1">
      <c r="D873" s="28"/>
      <c r="E873" s="28"/>
      <c r="F873" s="28"/>
      <c r="G873" s="28"/>
      <c r="H873" s="28"/>
    </row>
    <row r="874" spans="4:8" s="25" customFormat="1" ht="11.25" customHeight="1">
      <c r="D874" s="28"/>
      <c r="E874" s="28"/>
      <c r="F874" s="28"/>
      <c r="G874" s="28"/>
      <c r="H874" s="28"/>
    </row>
    <row r="875" spans="4:8" s="25" customFormat="1" ht="11.25" customHeight="1">
      <c r="D875" s="28"/>
      <c r="E875" s="28"/>
      <c r="F875" s="28"/>
      <c r="G875" s="28"/>
      <c r="H875" s="28"/>
    </row>
    <row r="876" spans="4:8" s="25" customFormat="1" ht="11.25" customHeight="1">
      <c r="D876" s="28"/>
      <c r="E876" s="28"/>
      <c r="F876" s="28"/>
      <c r="G876" s="28"/>
      <c r="H876" s="28"/>
    </row>
    <row r="877" spans="4:8" s="25" customFormat="1" ht="11.25" customHeight="1">
      <c r="D877" s="28"/>
      <c r="E877" s="28"/>
      <c r="F877" s="28"/>
      <c r="G877" s="28"/>
      <c r="H877" s="28"/>
    </row>
    <row r="878" spans="4:8" s="25" customFormat="1" ht="11.25" customHeight="1">
      <c r="D878" s="28"/>
      <c r="E878" s="28"/>
      <c r="F878" s="28"/>
      <c r="G878" s="28"/>
      <c r="H878" s="28"/>
    </row>
    <row r="879" spans="4:8" s="25" customFormat="1" ht="11.25" customHeight="1">
      <c r="D879" s="28"/>
      <c r="E879" s="28"/>
      <c r="F879" s="28"/>
      <c r="G879" s="28"/>
      <c r="H879" s="28"/>
    </row>
    <row r="880" spans="4:8" s="25" customFormat="1" ht="11.25" customHeight="1">
      <c r="D880" s="28"/>
      <c r="E880" s="28"/>
      <c r="F880" s="28"/>
      <c r="G880" s="28"/>
      <c r="H880" s="28"/>
    </row>
    <row r="881" spans="4:8" s="25" customFormat="1" ht="11.25" customHeight="1">
      <c r="D881" s="28"/>
      <c r="E881" s="28"/>
      <c r="F881" s="28"/>
      <c r="G881" s="28"/>
      <c r="H881" s="28"/>
    </row>
    <row r="882" spans="4:8" s="25" customFormat="1" ht="11.25" customHeight="1">
      <c r="D882" s="28"/>
      <c r="E882" s="28"/>
      <c r="F882" s="28"/>
      <c r="G882" s="28"/>
      <c r="H882" s="28"/>
    </row>
    <row r="883" spans="4:8" s="25" customFormat="1" ht="11.25" customHeight="1">
      <c r="D883" s="28"/>
      <c r="E883" s="28"/>
      <c r="F883" s="28"/>
      <c r="G883" s="28"/>
      <c r="H883" s="28"/>
    </row>
    <row r="884" spans="4:8" s="25" customFormat="1" ht="11.25" customHeight="1">
      <c r="D884" s="28"/>
      <c r="E884" s="28"/>
      <c r="F884" s="28"/>
      <c r="G884" s="28"/>
      <c r="H884" s="28"/>
    </row>
    <row r="885" spans="4:8" s="25" customFormat="1" ht="11.25" customHeight="1">
      <c r="D885" s="28"/>
      <c r="E885" s="28"/>
      <c r="F885" s="28"/>
      <c r="G885" s="28"/>
      <c r="H885" s="28"/>
    </row>
    <row r="886" spans="4:8" s="25" customFormat="1" ht="11.25" customHeight="1">
      <c r="D886" s="28"/>
      <c r="E886" s="28"/>
      <c r="F886" s="28"/>
      <c r="G886" s="28"/>
      <c r="H886" s="28"/>
    </row>
    <row r="887" spans="4:8" s="25" customFormat="1" ht="11.25" customHeight="1">
      <c r="D887" s="28"/>
      <c r="E887" s="28"/>
      <c r="F887" s="28"/>
      <c r="G887" s="28"/>
      <c r="H887" s="28"/>
    </row>
    <row r="888" spans="4:8" s="25" customFormat="1" ht="11.25" customHeight="1">
      <c r="D888" s="28"/>
      <c r="E888" s="28"/>
      <c r="F888" s="28"/>
      <c r="G888" s="28"/>
      <c r="H888" s="28"/>
    </row>
    <row r="889" spans="4:8" s="25" customFormat="1" ht="11.25" customHeight="1">
      <c r="D889" s="28"/>
      <c r="E889" s="28"/>
      <c r="F889" s="28"/>
      <c r="G889" s="28"/>
      <c r="H889" s="28"/>
    </row>
    <row r="890" spans="4:8" s="25" customFormat="1" ht="11.25" customHeight="1">
      <c r="D890" s="28"/>
      <c r="E890" s="28"/>
      <c r="F890" s="28"/>
      <c r="G890" s="28"/>
      <c r="H890" s="28"/>
    </row>
    <row r="891" spans="4:8" s="25" customFormat="1" ht="11.25" customHeight="1">
      <c r="D891" s="28"/>
      <c r="E891" s="28"/>
      <c r="F891" s="28"/>
      <c r="G891" s="28"/>
      <c r="H891" s="28"/>
    </row>
    <row r="892" spans="4:8" s="25" customFormat="1" ht="11.25" customHeight="1">
      <c r="D892" s="28"/>
      <c r="E892" s="28"/>
      <c r="F892" s="28"/>
      <c r="G892" s="28"/>
      <c r="H892" s="28"/>
    </row>
    <row r="893" spans="4:8" s="25" customFormat="1" ht="11.25" customHeight="1">
      <c r="D893" s="28"/>
      <c r="E893" s="28"/>
      <c r="F893" s="28"/>
      <c r="G893" s="28"/>
      <c r="H893" s="28"/>
    </row>
    <row r="894" spans="4:8" s="25" customFormat="1" ht="11.25" customHeight="1">
      <c r="D894" s="28"/>
      <c r="E894" s="28"/>
      <c r="F894" s="28"/>
      <c r="G894" s="28"/>
      <c r="H894" s="28"/>
    </row>
    <row r="895" spans="4:8" s="25" customFormat="1" ht="11.25" customHeight="1">
      <c r="D895" s="28"/>
      <c r="E895" s="28"/>
      <c r="F895" s="28"/>
      <c r="G895" s="28"/>
      <c r="H895" s="28"/>
    </row>
    <row r="896" spans="4:8" s="25" customFormat="1" ht="11.25" customHeight="1">
      <c r="D896" s="28"/>
      <c r="E896" s="28"/>
      <c r="F896" s="28"/>
      <c r="G896" s="28"/>
      <c r="H896" s="28"/>
    </row>
    <row r="897" spans="4:8" s="25" customFormat="1" ht="11.25" customHeight="1">
      <c r="D897" s="28"/>
      <c r="E897" s="28"/>
      <c r="F897" s="28"/>
      <c r="G897" s="28"/>
      <c r="H897" s="28"/>
    </row>
    <row r="898" spans="4:8" s="25" customFormat="1" ht="11.25" customHeight="1">
      <c r="D898" s="28"/>
      <c r="E898" s="28"/>
      <c r="F898" s="28"/>
      <c r="G898" s="28"/>
      <c r="H898" s="28"/>
    </row>
    <row r="899" spans="4:8" s="25" customFormat="1" ht="11.25" customHeight="1">
      <c r="D899" s="28"/>
      <c r="E899" s="28"/>
      <c r="F899" s="28"/>
      <c r="G899" s="28"/>
      <c r="H899" s="28"/>
    </row>
    <row r="900" spans="4:8" s="25" customFormat="1" ht="11.25" customHeight="1">
      <c r="D900" s="28"/>
      <c r="E900" s="28"/>
      <c r="F900" s="28"/>
      <c r="G900" s="28"/>
      <c r="H900" s="28"/>
    </row>
    <row r="901" spans="4:8" s="25" customFormat="1" ht="11.25" customHeight="1">
      <c r="D901" s="28"/>
      <c r="E901" s="28"/>
      <c r="F901" s="28"/>
      <c r="G901" s="28"/>
      <c r="H901" s="28"/>
    </row>
    <row r="902" spans="4:8" s="25" customFormat="1" ht="11.25" customHeight="1">
      <c r="D902" s="28"/>
      <c r="E902" s="28"/>
      <c r="F902" s="28"/>
      <c r="G902" s="28"/>
      <c r="H902" s="28"/>
    </row>
    <row r="903" spans="4:8" s="25" customFormat="1" ht="11.25" customHeight="1">
      <c r="D903" s="28"/>
      <c r="E903" s="28"/>
      <c r="F903" s="28"/>
      <c r="G903" s="28"/>
      <c r="H903" s="28"/>
    </row>
    <row r="904" spans="4:8" s="25" customFormat="1" ht="11.25" customHeight="1">
      <c r="D904" s="28"/>
      <c r="E904" s="28"/>
      <c r="F904" s="28"/>
      <c r="G904" s="28"/>
      <c r="H904" s="28"/>
    </row>
    <row r="905" spans="4:8" s="25" customFormat="1" ht="11.25" customHeight="1">
      <c r="D905" s="28"/>
      <c r="E905" s="28"/>
      <c r="F905" s="28"/>
      <c r="G905" s="28"/>
      <c r="H905" s="28"/>
    </row>
    <row r="906" spans="4:8" s="25" customFormat="1" ht="11.25" customHeight="1">
      <c r="D906" s="28"/>
      <c r="E906" s="28"/>
      <c r="F906" s="28"/>
      <c r="G906" s="28"/>
      <c r="H906" s="28"/>
    </row>
    <row r="907" spans="4:8" s="25" customFormat="1" ht="11.25" customHeight="1">
      <c r="D907" s="28"/>
      <c r="E907" s="28"/>
      <c r="F907" s="28"/>
      <c r="G907" s="28"/>
      <c r="H907" s="28"/>
    </row>
    <row r="908" spans="4:8" s="25" customFormat="1" ht="11.25" customHeight="1">
      <c r="D908" s="28"/>
      <c r="E908" s="28"/>
      <c r="F908" s="28"/>
      <c r="G908" s="28"/>
      <c r="H908" s="28"/>
    </row>
    <row r="909" spans="4:8" s="25" customFormat="1" ht="11.25" customHeight="1">
      <c r="D909" s="28"/>
      <c r="E909" s="28"/>
      <c r="F909" s="28"/>
      <c r="G909" s="28"/>
      <c r="H909" s="28"/>
    </row>
    <row r="910" spans="4:8" s="25" customFormat="1" ht="11.25" customHeight="1">
      <c r="D910" s="28"/>
      <c r="E910" s="28"/>
      <c r="F910" s="28"/>
      <c r="G910" s="28"/>
      <c r="H910" s="28"/>
    </row>
    <row r="911" spans="4:8" s="25" customFormat="1" ht="11.25" customHeight="1">
      <c r="D911" s="28"/>
      <c r="E911" s="28"/>
      <c r="F911" s="28"/>
      <c r="G911" s="28"/>
      <c r="H911" s="28"/>
    </row>
    <row r="912" spans="4:8" s="25" customFormat="1" ht="11.25" customHeight="1">
      <c r="D912" s="28"/>
      <c r="E912" s="28"/>
      <c r="F912" s="28"/>
      <c r="G912" s="28"/>
      <c r="H912" s="28"/>
    </row>
    <row r="913" spans="4:8" s="25" customFormat="1" ht="11.25" customHeight="1">
      <c r="D913" s="28"/>
      <c r="E913" s="28"/>
      <c r="F913" s="28"/>
      <c r="G913" s="28"/>
      <c r="H913" s="28"/>
    </row>
    <row r="914" spans="4:8" s="25" customFormat="1" ht="11.25" customHeight="1">
      <c r="D914" s="28"/>
      <c r="E914" s="28"/>
      <c r="F914" s="28"/>
      <c r="G914" s="28"/>
      <c r="H914" s="28"/>
    </row>
    <row r="915" spans="4:8" s="25" customFormat="1" ht="11.25" customHeight="1">
      <c r="D915" s="28"/>
      <c r="E915" s="28"/>
      <c r="F915" s="28"/>
      <c r="G915" s="28"/>
      <c r="H915" s="28"/>
    </row>
    <row r="916" spans="4:8" s="25" customFormat="1" ht="11.25" customHeight="1">
      <c r="D916" s="28"/>
      <c r="E916" s="28"/>
      <c r="F916" s="28"/>
      <c r="G916" s="28"/>
      <c r="H916" s="28"/>
    </row>
    <row r="917" spans="4:8" s="25" customFormat="1" ht="11.25" customHeight="1">
      <c r="D917" s="28"/>
      <c r="E917" s="28"/>
      <c r="F917" s="28"/>
      <c r="G917" s="28"/>
      <c r="H917" s="28"/>
    </row>
    <row r="918" spans="4:8" s="25" customFormat="1" ht="11.25" customHeight="1">
      <c r="D918" s="28"/>
      <c r="E918" s="28"/>
      <c r="F918" s="28"/>
      <c r="G918" s="28"/>
      <c r="H918" s="28"/>
    </row>
    <row r="919" spans="4:8" s="25" customFormat="1" ht="11.25" customHeight="1">
      <c r="D919" s="28"/>
      <c r="E919" s="28"/>
      <c r="F919" s="28"/>
      <c r="G919" s="28"/>
      <c r="H919" s="28"/>
    </row>
    <row r="920" spans="4:8" s="25" customFormat="1" ht="11.25" customHeight="1">
      <c r="D920" s="28"/>
      <c r="E920" s="28"/>
      <c r="F920" s="28"/>
      <c r="G920" s="28"/>
      <c r="H920" s="28"/>
    </row>
    <row r="921" spans="4:8" s="25" customFormat="1" ht="11.25" customHeight="1">
      <c r="D921" s="28"/>
      <c r="E921" s="28"/>
      <c r="F921" s="28"/>
      <c r="G921" s="28"/>
      <c r="H921" s="28"/>
    </row>
    <row r="922" spans="4:8" s="25" customFormat="1" ht="11.25" customHeight="1">
      <c r="D922" s="28"/>
      <c r="E922" s="28"/>
      <c r="F922" s="28"/>
      <c r="G922" s="28"/>
      <c r="H922" s="28"/>
    </row>
    <row r="923" spans="4:8" s="25" customFormat="1" ht="11.25" customHeight="1">
      <c r="D923" s="28"/>
      <c r="E923" s="28"/>
      <c r="F923" s="28"/>
      <c r="G923" s="28"/>
      <c r="H923" s="28"/>
    </row>
    <row r="924" spans="4:8" s="25" customFormat="1" ht="11.25" customHeight="1">
      <c r="D924" s="28"/>
      <c r="E924" s="28"/>
      <c r="F924" s="28"/>
      <c r="G924" s="28"/>
      <c r="H924" s="28"/>
    </row>
    <row r="925" spans="4:8" s="25" customFormat="1" ht="11.25" customHeight="1">
      <c r="D925" s="28"/>
      <c r="E925" s="28"/>
      <c r="F925" s="28"/>
      <c r="G925" s="28"/>
      <c r="H925" s="28"/>
    </row>
    <row r="926" spans="4:8" s="25" customFormat="1" ht="11.25" customHeight="1">
      <c r="D926" s="28"/>
      <c r="E926" s="28"/>
      <c r="F926" s="28"/>
      <c r="G926" s="28"/>
      <c r="H926" s="28"/>
    </row>
    <row r="927" spans="4:8" s="25" customFormat="1" ht="11.25" customHeight="1">
      <c r="D927" s="28"/>
      <c r="E927" s="28"/>
      <c r="F927" s="28"/>
      <c r="G927" s="28"/>
      <c r="H927" s="28"/>
    </row>
    <row r="928" spans="4:8" s="25" customFormat="1" ht="11.25" customHeight="1">
      <c r="D928" s="28"/>
      <c r="E928" s="28"/>
      <c r="F928" s="28"/>
      <c r="G928" s="28"/>
      <c r="H928" s="28"/>
    </row>
    <row r="929" spans="4:8" s="25" customFormat="1" ht="11.25" customHeight="1">
      <c r="D929" s="28"/>
      <c r="E929" s="28"/>
      <c r="F929" s="28"/>
      <c r="G929" s="28"/>
      <c r="H929" s="28"/>
    </row>
    <row r="930" spans="4:8" s="25" customFormat="1" ht="11.25" customHeight="1">
      <c r="D930" s="28"/>
      <c r="E930" s="28"/>
      <c r="F930" s="28"/>
      <c r="G930" s="28"/>
      <c r="H930" s="28"/>
    </row>
    <row r="931" spans="4:8" s="25" customFormat="1" ht="11.25" customHeight="1">
      <c r="D931" s="28"/>
      <c r="E931" s="28"/>
      <c r="F931" s="28"/>
      <c r="G931" s="28"/>
      <c r="H931" s="28"/>
    </row>
    <row r="932" spans="4:8" s="25" customFormat="1" ht="11.25" customHeight="1">
      <c r="D932" s="28"/>
      <c r="E932" s="28"/>
      <c r="F932" s="28"/>
      <c r="G932" s="28"/>
      <c r="H932" s="28"/>
    </row>
    <row r="933" spans="4:8" s="25" customFormat="1" ht="11.25" customHeight="1">
      <c r="D933" s="28"/>
      <c r="E933" s="28"/>
      <c r="F933" s="28"/>
      <c r="G933" s="28"/>
      <c r="H933" s="28"/>
    </row>
    <row r="934" spans="4:8" s="25" customFormat="1" ht="11.25" customHeight="1">
      <c r="D934" s="28"/>
      <c r="E934" s="28"/>
      <c r="F934" s="28"/>
      <c r="G934" s="28"/>
      <c r="H934" s="28"/>
    </row>
    <row r="935" spans="4:8" s="25" customFormat="1" ht="11.25" customHeight="1">
      <c r="D935" s="28"/>
      <c r="E935" s="28"/>
      <c r="F935" s="28"/>
      <c r="G935" s="28"/>
      <c r="H935" s="28"/>
    </row>
    <row r="936" spans="4:8" s="25" customFormat="1" ht="11.25" customHeight="1">
      <c r="D936" s="28"/>
      <c r="E936" s="28"/>
      <c r="F936" s="28"/>
      <c r="G936" s="28"/>
      <c r="H936" s="28"/>
    </row>
    <row r="937" spans="4:8" s="25" customFormat="1" ht="11.25" customHeight="1">
      <c r="D937" s="28"/>
      <c r="E937" s="28"/>
      <c r="F937" s="28"/>
      <c r="G937" s="28"/>
      <c r="H937" s="28"/>
    </row>
    <row r="938" spans="4:8" s="25" customFormat="1" ht="11.25" customHeight="1">
      <c r="D938" s="28"/>
      <c r="E938" s="28"/>
      <c r="F938" s="28"/>
      <c r="G938" s="28"/>
      <c r="H938" s="28"/>
    </row>
    <row r="939" spans="4:8" s="25" customFormat="1" ht="11.25" customHeight="1">
      <c r="D939" s="28"/>
      <c r="E939" s="28"/>
      <c r="F939" s="28"/>
      <c r="G939" s="28"/>
      <c r="H939" s="28"/>
    </row>
    <row r="940" spans="4:8" s="25" customFormat="1" ht="11.25" customHeight="1">
      <c r="D940" s="28"/>
      <c r="E940" s="28"/>
      <c r="F940" s="28"/>
      <c r="G940" s="28"/>
      <c r="H940" s="28"/>
    </row>
    <row r="941" spans="4:8" s="25" customFormat="1" ht="11.25" customHeight="1">
      <c r="D941" s="28"/>
      <c r="E941" s="28"/>
      <c r="F941" s="28"/>
      <c r="G941" s="28"/>
      <c r="H941" s="28"/>
    </row>
    <row r="942" spans="4:8" s="25" customFormat="1" ht="11.25" customHeight="1">
      <c r="D942" s="28"/>
      <c r="E942" s="28"/>
      <c r="F942" s="28"/>
      <c r="G942" s="28"/>
      <c r="H942" s="28"/>
    </row>
    <row r="943" spans="4:8" s="25" customFormat="1" ht="11.25" customHeight="1">
      <c r="D943" s="28"/>
      <c r="E943" s="28"/>
      <c r="F943" s="28"/>
      <c r="G943" s="28"/>
      <c r="H943" s="28"/>
    </row>
    <row r="944" spans="4:8" s="25" customFormat="1" ht="11.25" customHeight="1">
      <c r="D944" s="28"/>
      <c r="E944" s="28"/>
      <c r="F944" s="28"/>
      <c r="G944" s="28"/>
      <c r="H944" s="28"/>
    </row>
    <row r="945" spans="4:8" s="25" customFormat="1" ht="11.25" customHeight="1">
      <c r="D945" s="28"/>
      <c r="E945" s="28"/>
      <c r="F945" s="28"/>
      <c r="G945" s="28"/>
      <c r="H945" s="28"/>
    </row>
    <row r="946" spans="4:8" s="25" customFormat="1" ht="11.25" customHeight="1">
      <c r="D946" s="28"/>
      <c r="E946" s="28"/>
      <c r="F946" s="28"/>
      <c r="G946" s="28"/>
      <c r="H946" s="28"/>
    </row>
    <row r="947" spans="4:8" s="25" customFormat="1" ht="11.25" customHeight="1">
      <c r="D947" s="28"/>
      <c r="E947" s="28"/>
      <c r="F947" s="28"/>
      <c r="G947" s="28"/>
      <c r="H947" s="28"/>
    </row>
    <row r="948" spans="4:8" s="25" customFormat="1" ht="11.25" customHeight="1">
      <c r="D948" s="28"/>
      <c r="E948" s="28"/>
      <c r="F948" s="28"/>
      <c r="G948" s="28"/>
      <c r="H948" s="28"/>
    </row>
    <row r="949" spans="4:8" s="25" customFormat="1" ht="11.25" customHeight="1">
      <c r="D949" s="28"/>
      <c r="E949" s="28"/>
      <c r="F949" s="28"/>
      <c r="G949" s="28"/>
      <c r="H949" s="28"/>
    </row>
    <row r="950" spans="4:8" s="25" customFormat="1" ht="11.25" customHeight="1">
      <c r="D950" s="28"/>
      <c r="E950" s="28"/>
      <c r="F950" s="28"/>
      <c r="G950" s="28"/>
      <c r="H950" s="28"/>
    </row>
    <row r="951" spans="4:8" s="25" customFormat="1" ht="11.25" customHeight="1">
      <c r="D951" s="28"/>
      <c r="E951" s="28"/>
      <c r="F951" s="28"/>
      <c r="G951" s="28"/>
      <c r="H951" s="28"/>
    </row>
    <row r="952" spans="4:8" s="25" customFormat="1" ht="11.25" customHeight="1">
      <c r="D952" s="28"/>
      <c r="E952" s="28"/>
      <c r="F952" s="28"/>
      <c r="G952" s="28"/>
      <c r="H952" s="28"/>
    </row>
    <row r="953" spans="4:8" s="25" customFormat="1" ht="11.25" customHeight="1">
      <c r="D953" s="28"/>
      <c r="E953" s="28"/>
      <c r="F953" s="28"/>
      <c r="G953" s="28"/>
      <c r="H953" s="28"/>
    </row>
    <row r="954" spans="4:8" s="25" customFormat="1" ht="11.25" customHeight="1">
      <c r="D954" s="28"/>
      <c r="E954" s="28"/>
      <c r="F954" s="28"/>
      <c r="G954" s="28"/>
      <c r="H954" s="28"/>
    </row>
    <row r="955" spans="4:8" s="25" customFormat="1" ht="11.25" customHeight="1">
      <c r="D955" s="28"/>
      <c r="E955" s="28"/>
      <c r="F955" s="28"/>
      <c r="G955" s="28"/>
      <c r="H955" s="28"/>
    </row>
    <row r="956" spans="4:8" s="25" customFormat="1" ht="11.25" customHeight="1">
      <c r="D956" s="28"/>
      <c r="E956" s="28"/>
      <c r="F956" s="28"/>
      <c r="G956" s="28"/>
      <c r="H956" s="28"/>
    </row>
    <row r="957" spans="4:8" s="25" customFormat="1" ht="11.25" customHeight="1">
      <c r="D957" s="28"/>
      <c r="E957" s="28"/>
      <c r="F957" s="28"/>
      <c r="G957" s="28"/>
      <c r="H957" s="28"/>
    </row>
    <row r="958" spans="4:8" s="25" customFormat="1" ht="11.25" customHeight="1">
      <c r="D958" s="28"/>
      <c r="E958" s="28"/>
      <c r="F958" s="28"/>
      <c r="G958" s="28"/>
      <c r="H958" s="28"/>
    </row>
    <row r="959" spans="4:8" s="25" customFormat="1" ht="11.25" customHeight="1">
      <c r="D959" s="28"/>
      <c r="E959" s="28"/>
      <c r="F959" s="28"/>
      <c r="G959" s="28"/>
      <c r="H959" s="28"/>
    </row>
    <row r="960" spans="4:8" s="25" customFormat="1" ht="11.25" customHeight="1">
      <c r="D960" s="28"/>
      <c r="E960" s="28"/>
      <c r="F960" s="28"/>
      <c r="G960" s="28"/>
      <c r="H960" s="28"/>
    </row>
    <row r="961" spans="4:8" s="25" customFormat="1" ht="11.25" customHeight="1">
      <c r="D961" s="28"/>
      <c r="E961" s="28"/>
      <c r="F961" s="28"/>
      <c r="G961" s="28"/>
      <c r="H961" s="28"/>
    </row>
    <row r="962" spans="4:8" s="25" customFormat="1" ht="11.25" customHeight="1">
      <c r="D962" s="28"/>
      <c r="E962" s="28"/>
      <c r="F962" s="28"/>
      <c r="G962" s="28"/>
      <c r="H962" s="28"/>
    </row>
    <row r="963" spans="4:8" s="25" customFormat="1" ht="11.25" customHeight="1">
      <c r="D963" s="28"/>
      <c r="E963" s="28"/>
      <c r="F963" s="28"/>
      <c r="G963" s="28"/>
      <c r="H963" s="28"/>
    </row>
    <row r="964" spans="4:8" s="25" customFormat="1" ht="11.25" customHeight="1">
      <c r="D964" s="28"/>
      <c r="E964" s="28"/>
      <c r="F964" s="28"/>
      <c r="G964" s="28"/>
      <c r="H964" s="28"/>
    </row>
    <row r="965" spans="4:8" s="25" customFormat="1" ht="11.25" customHeight="1">
      <c r="D965" s="28"/>
      <c r="E965" s="28"/>
      <c r="F965" s="28"/>
      <c r="G965" s="28"/>
      <c r="H965" s="28"/>
    </row>
    <row r="966" spans="4:8" s="25" customFormat="1" ht="11.25" customHeight="1">
      <c r="D966" s="28"/>
      <c r="E966" s="28"/>
      <c r="F966" s="28"/>
      <c r="G966" s="28"/>
      <c r="H966" s="28"/>
    </row>
    <row r="967" spans="4:8" s="25" customFormat="1" ht="11.25" customHeight="1">
      <c r="D967" s="28"/>
      <c r="E967" s="28"/>
      <c r="F967" s="28"/>
      <c r="G967" s="28"/>
      <c r="H967" s="28"/>
    </row>
    <row r="968" spans="4:8" s="25" customFormat="1" ht="11.25" customHeight="1">
      <c r="D968" s="28"/>
      <c r="E968" s="28"/>
      <c r="F968" s="28"/>
      <c r="G968" s="28"/>
      <c r="H968" s="28"/>
    </row>
    <row r="969" spans="4:8" s="25" customFormat="1" ht="11.25" customHeight="1">
      <c r="D969" s="28"/>
      <c r="E969" s="28"/>
      <c r="F969" s="28"/>
      <c r="G969" s="28"/>
      <c r="H969" s="28"/>
    </row>
    <row r="970" spans="4:8" s="25" customFormat="1" ht="11.25" customHeight="1">
      <c r="D970" s="28"/>
      <c r="E970" s="28"/>
      <c r="F970" s="28"/>
      <c r="G970" s="28"/>
      <c r="H970" s="28"/>
    </row>
    <row r="971" spans="4:8" s="25" customFormat="1" ht="11.25" customHeight="1">
      <c r="D971" s="28"/>
      <c r="E971" s="28"/>
      <c r="F971" s="28"/>
      <c r="G971" s="28"/>
      <c r="H971" s="28"/>
    </row>
    <row r="972" spans="4:8" s="25" customFormat="1" ht="11.25" customHeight="1">
      <c r="D972" s="28"/>
      <c r="E972" s="28"/>
      <c r="F972" s="28"/>
      <c r="G972" s="28"/>
      <c r="H972" s="28"/>
    </row>
    <row r="973" spans="4:8" s="25" customFormat="1" ht="11.25" customHeight="1">
      <c r="D973" s="28"/>
      <c r="E973" s="28"/>
      <c r="F973" s="28"/>
      <c r="G973" s="28"/>
      <c r="H973" s="28"/>
    </row>
    <row r="974" spans="4:8" s="25" customFormat="1" ht="11.25" customHeight="1">
      <c r="D974" s="28"/>
      <c r="E974" s="28"/>
      <c r="F974" s="28"/>
      <c r="G974" s="28"/>
      <c r="H974" s="28"/>
    </row>
    <row r="975" spans="4:8" s="25" customFormat="1" ht="11.25" customHeight="1">
      <c r="D975" s="28"/>
      <c r="E975" s="28"/>
      <c r="F975" s="28"/>
      <c r="G975" s="28"/>
      <c r="H975" s="28"/>
    </row>
    <row r="976" spans="4:8" s="25" customFormat="1" ht="11.25" customHeight="1">
      <c r="D976" s="28"/>
      <c r="E976" s="28"/>
      <c r="F976" s="28"/>
      <c r="G976" s="28"/>
      <c r="H976" s="28"/>
    </row>
    <row r="977" spans="4:8" s="25" customFormat="1" ht="11.25" customHeight="1">
      <c r="D977" s="28"/>
      <c r="E977" s="28"/>
      <c r="F977" s="28"/>
      <c r="G977" s="28"/>
      <c r="H977" s="28"/>
    </row>
    <row r="978" spans="4:8" s="25" customFormat="1" ht="11.25" customHeight="1">
      <c r="D978" s="28"/>
      <c r="E978" s="28"/>
      <c r="F978" s="28"/>
      <c r="G978" s="28"/>
      <c r="H978" s="28"/>
    </row>
    <row r="979" spans="4:8" s="25" customFormat="1" ht="11.25" customHeight="1">
      <c r="D979" s="28"/>
      <c r="E979" s="28"/>
      <c r="F979" s="28"/>
      <c r="G979" s="28"/>
      <c r="H979" s="28"/>
    </row>
    <row r="980" spans="4:8" s="25" customFormat="1" ht="11.25" customHeight="1">
      <c r="D980" s="28"/>
      <c r="E980" s="28"/>
      <c r="F980" s="28"/>
      <c r="G980" s="28"/>
      <c r="H980" s="28"/>
    </row>
    <row r="981" spans="4:8" s="25" customFormat="1" ht="11.25" customHeight="1">
      <c r="D981" s="28"/>
      <c r="E981" s="28"/>
      <c r="F981" s="28"/>
      <c r="G981" s="28"/>
      <c r="H981" s="28"/>
    </row>
    <row r="982" spans="4:8" s="25" customFormat="1" ht="11.25" customHeight="1">
      <c r="D982" s="28"/>
      <c r="E982" s="28"/>
      <c r="F982" s="28"/>
      <c r="G982" s="28"/>
      <c r="H982" s="28"/>
    </row>
    <row r="983" spans="4:8" s="25" customFormat="1" ht="11.25" customHeight="1">
      <c r="D983" s="28"/>
      <c r="E983" s="28"/>
      <c r="F983" s="28"/>
      <c r="G983" s="28"/>
      <c r="H983" s="28"/>
    </row>
    <row r="984" spans="4:8" s="25" customFormat="1" ht="11.25" customHeight="1">
      <c r="D984" s="28"/>
      <c r="E984" s="28"/>
      <c r="F984" s="28"/>
      <c r="G984" s="28"/>
      <c r="H984" s="28"/>
    </row>
    <row r="985" spans="4:8" s="25" customFormat="1" ht="11.25" customHeight="1">
      <c r="D985" s="28"/>
      <c r="E985" s="28"/>
      <c r="F985" s="28"/>
      <c r="G985" s="28"/>
      <c r="H985" s="28"/>
    </row>
    <row r="986" spans="4:8" s="25" customFormat="1" ht="11.25" customHeight="1">
      <c r="D986" s="28"/>
      <c r="E986" s="28"/>
      <c r="F986" s="28"/>
      <c r="G986" s="28"/>
      <c r="H986" s="28"/>
    </row>
    <row r="987" spans="4:8" s="25" customFormat="1" ht="11.25" customHeight="1">
      <c r="D987" s="28"/>
      <c r="E987" s="28"/>
      <c r="F987" s="28"/>
      <c r="G987" s="28"/>
      <c r="H987" s="28"/>
    </row>
    <row r="988" spans="4:8" s="25" customFormat="1" ht="11.25" customHeight="1">
      <c r="D988" s="28"/>
      <c r="E988" s="28"/>
      <c r="F988" s="28"/>
      <c r="G988" s="28"/>
      <c r="H988" s="28"/>
    </row>
    <row r="989" spans="4:8" s="25" customFormat="1" ht="11.25" customHeight="1">
      <c r="D989" s="28"/>
      <c r="E989" s="28"/>
      <c r="F989" s="28"/>
      <c r="G989" s="28"/>
      <c r="H989" s="28"/>
    </row>
    <row r="990" spans="4:8" s="25" customFormat="1" ht="11.25" customHeight="1">
      <c r="D990" s="28"/>
      <c r="E990" s="28"/>
      <c r="F990" s="28"/>
      <c r="G990" s="28"/>
      <c r="H990" s="28"/>
    </row>
    <row r="991" spans="4:8" s="25" customFormat="1" ht="11.25" customHeight="1">
      <c r="D991" s="28"/>
      <c r="E991" s="28"/>
      <c r="F991" s="28"/>
      <c r="G991" s="28"/>
      <c r="H991" s="28"/>
    </row>
    <row r="992" spans="4:8" s="25" customFormat="1" ht="11.25" customHeight="1">
      <c r="D992" s="28"/>
      <c r="E992" s="28"/>
      <c r="F992" s="28"/>
      <c r="G992" s="28"/>
      <c r="H992" s="28"/>
    </row>
    <row r="993" spans="4:8" s="25" customFormat="1" ht="11.25" customHeight="1">
      <c r="D993" s="28"/>
      <c r="E993" s="28"/>
      <c r="F993" s="28"/>
      <c r="G993" s="28"/>
      <c r="H993" s="28"/>
    </row>
    <row r="994" spans="4:8" s="25" customFormat="1" ht="11.25" customHeight="1">
      <c r="D994" s="28"/>
      <c r="E994" s="28"/>
      <c r="F994" s="28"/>
      <c r="G994" s="28"/>
      <c r="H994" s="28"/>
    </row>
    <row r="995" spans="4:8" s="25" customFormat="1" ht="11.25" customHeight="1">
      <c r="D995" s="28"/>
      <c r="E995" s="28"/>
      <c r="F995" s="28"/>
      <c r="G995" s="28"/>
      <c r="H995" s="28"/>
    </row>
    <row r="996" spans="4:8" s="25" customFormat="1" ht="11.25" customHeight="1">
      <c r="D996" s="28"/>
      <c r="E996" s="28"/>
      <c r="F996" s="28"/>
      <c r="G996" s="28"/>
      <c r="H996" s="28"/>
    </row>
    <row r="997" spans="4:8" s="25" customFormat="1" ht="11.25" customHeight="1">
      <c r="D997" s="28"/>
      <c r="E997" s="28"/>
      <c r="F997" s="28"/>
      <c r="G997" s="28"/>
      <c r="H997" s="28"/>
    </row>
    <row r="998" spans="4:8" s="25" customFormat="1" ht="11.25" customHeight="1">
      <c r="D998" s="28"/>
      <c r="E998" s="28"/>
      <c r="F998" s="28"/>
      <c r="G998" s="28"/>
      <c r="H998" s="28"/>
    </row>
    <row r="999" spans="4:8" s="25" customFormat="1" ht="11.25" customHeight="1">
      <c r="D999" s="28"/>
      <c r="E999" s="28"/>
      <c r="F999" s="28"/>
      <c r="G999" s="28"/>
      <c r="H999" s="28"/>
    </row>
    <row r="1000" spans="4:8" s="25" customFormat="1" ht="11.25" customHeight="1">
      <c r="D1000" s="28"/>
      <c r="E1000" s="28"/>
      <c r="F1000" s="28"/>
      <c r="G1000" s="28"/>
      <c r="H1000" s="28"/>
    </row>
    <row r="1001" spans="4:8" s="25" customFormat="1" ht="11.25" customHeight="1">
      <c r="D1001" s="28"/>
      <c r="E1001" s="28"/>
      <c r="F1001" s="28"/>
      <c r="G1001" s="28"/>
      <c r="H1001" s="28"/>
    </row>
    <row r="1002" spans="4:8" s="25" customFormat="1" ht="11.25" customHeight="1">
      <c r="D1002" s="28"/>
      <c r="E1002" s="28"/>
      <c r="F1002" s="28"/>
      <c r="G1002" s="28"/>
      <c r="H1002" s="28"/>
    </row>
    <row r="1003" spans="4:8" s="25" customFormat="1" ht="11.25" customHeight="1">
      <c r="D1003" s="28"/>
      <c r="E1003" s="28"/>
      <c r="F1003" s="28"/>
      <c r="G1003" s="28"/>
      <c r="H1003" s="28"/>
    </row>
    <row r="1004" spans="4:8" s="25" customFormat="1" ht="11.25" customHeight="1">
      <c r="D1004" s="28"/>
      <c r="E1004" s="28"/>
      <c r="F1004" s="28"/>
      <c r="G1004" s="28"/>
      <c r="H1004" s="28"/>
    </row>
    <row r="1005" spans="4:8" s="25" customFormat="1" ht="11.25" customHeight="1">
      <c r="D1005" s="28"/>
      <c r="E1005" s="28"/>
      <c r="F1005" s="28"/>
      <c r="G1005" s="28"/>
      <c r="H1005" s="28"/>
    </row>
    <row r="1006" spans="4:8" s="25" customFormat="1" ht="11.25" customHeight="1">
      <c r="D1006" s="28"/>
      <c r="E1006" s="28"/>
      <c r="F1006" s="28"/>
      <c r="G1006" s="28"/>
      <c r="H1006" s="28"/>
    </row>
    <row r="1007" spans="4:8" s="25" customFormat="1" ht="11.25" customHeight="1">
      <c r="D1007" s="28"/>
      <c r="E1007" s="28"/>
      <c r="F1007" s="28"/>
      <c r="G1007" s="28"/>
      <c r="H1007" s="28"/>
    </row>
    <row r="1008" spans="4:8" s="25" customFormat="1" ht="11.25" customHeight="1">
      <c r="D1008" s="28"/>
      <c r="E1008" s="28"/>
      <c r="F1008" s="28"/>
      <c r="G1008" s="28"/>
      <c r="H1008" s="28"/>
    </row>
    <row r="1009" spans="4:8" s="25" customFormat="1" ht="11.25" customHeight="1">
      <c r="D1009" s="28"/>
      <c r="E1009" s="28"/>
      <c r="F1009" s="28"/>
      <c r="G1009" s="28"/>
      <c r="H1009" s="28"/>
    </row>
    <row r="1010" spans="4:8" s="25" customFormat="1" ht="11.25" customHeight="1">
      <c r="D1010" s="28"/>
      <c r="E1010" s="28"/>
      <c r="F1010" s="28"/>
      <c r="G1010" s="28"/>
      <c r="H1010" s="28"/>
    </row>
    <row r="1011" spans="4:8" s="25" customFormat="1" ht="11.25" customHeight="1">
      <c r="D1011" s="28"/>
      <c r="E1011" s="28"/>
      <c r="F1011" s="28"/>
      <c r="G1011" s="28"/>
      <c r="H1011" s="28"/>
    </row>
    <row r="1012" spans="4:8" s="25" customFormat="1" ht="11.25" customHeight="1">
      <c r="D1012" s="28"/>
      <c r="E1012" s="28"/>
      <c r="F1012" s="28"/>
      <c r="G1012" s="28"/>
      <c r="H1012" s="28"/>
    </row>
    <row r="1013" spans="4:8" s="25" customFormat="1" ht="11.25" customHeight="1">
      <c r="D1013" s="28"/>
      <c r="E1013" s="28"/>
      <c r="F1013" s="28"/>
      <c r="G1013" s="28"/>
      <c r="H1013" s="28"/>
    </row>
    <row r="1014" spans="4:8" s="25" customFormat="1" ht="11.25" customHeight="1">
      <c r="D1014" s="28"/>
      <c r="E1014" s="28"/>
      <c r="F1014" s="28"/>
      <c r="G1014" s="28"/>
      <c r="H1014" s="28"/>
    </row>
    <row r="1015" spans="4:8" s="25" customFormat="1" ht="11.25" customHeight="1">
      <c r="D1015" s="28"/>
      <c r="E1015" s="28"/>
      <c r="F1015" s="28"/>
      <c r="G1015" s="28"/>
      <c r="H1015" s="28"/>
    </row>
    <row r="1016" spans="4:8" s="25" customFormat="1" ht="11.25" customHeight="1">
      <c r="D1016" s="28"/>
      <c r="E1016" s="28"/>
      <c r="F1016" s="28"/>
      <c r="G1016" s="28"/>
      <c r="H1016" s="28"/>
    </row>
    <row r="1017" spans="4:8" s="25" customFormat="1" ht="11.25" customHeight="1">
      <c r="D1017" s="28"/>
      <c r="E1017" s="28"/>
      <c r="F1017" s="28"/>
      <c r="G1017" s="28"/>
      <c r="H1017" s="28"/>
    </row>
    <row r="1018" spans="4:8" s="25" customFormat="1" ht="11.25" customHeight="1">
      <c r="D1018" s="28"/>
      <c r="E1018" s="28"/>
      <c r="F1018" s="28"/>
      <c r="G1018" s="28"/>
      <c r="H1018" s="28"/>
    </row>
    <row r="1019" spans="4:8" s="25" customFormat="1" ht="11.25" customHeight="1">
      <c r="D1019" s="28"/>
      <c r="E1019" s="28"/>
      <c r="F1019" s="28"/>
      <c r="G1019" s="28"/>
      <c r="H1019" s="28"/>
    </row>
    <row r="1020" spans="4:8" s="25" customFormat="1" ht="11.25" customHeight="1">
      <c r="D1020" s="28"/>
      <c r="E1020" s="28"/>
      <c r="F1020" s="28"/>
      <c r="G1020" s="28"/>
      <c r="H1020" s="28"/>
    </row>
    <row r="1021" spans="4:8" s="25" customFormat="1" ht="11.25" customHeight="1">
      <c r="D1021" s="28"/>
      <c r="E1021" s="28"/>
      <c r="F1021" s="28"/>
      <c r="G1021" s="28"/>
      <c r="H1021" s="28"/>
    </row>
    <row r="1022" spans="4:8" s="25" customFormat="1" ht="11.25" customHeight="1">
      <c r="D1022" s="28"/>
      <c r="E1022" s="28"/>
      <c r="F1022" s="28"/>
      <c r="G1022" s="28"/>
      <c r="H1022" s="28"/>
    </row>
    <row r="1023" spans="4:8" s="25" customFormat="1" ht="11.25" customHeight="1">
      <c r="D1023" s="28"/>
      <c r="E1023" s="28"/>
      <c r="F1023" s="28"/>
      <c r="G1023" s="28"/>
      <c r="H1023" s="28"/>
    </row>
    <row r="1024" spans="4:8" s="25" customFormat="1" ht="11.25" customHeight="1">
      <c r="D1024" s="28"/>
      <c r="E1024" s="28"/>
      <c r="F1024" s="28"/>
      <c r="G1024" s="28"/>
      <c r="H1024" s="28"/>
    </row>
    <row r="1025" spans="4:8" s="25" customFormat="1" ht="11.25" customHeight="1">
      <c r="D1025" s="28"/>
      <c r="E1025" s="28"/>
      <c r="F1025" s="28"/>
      <c r="G1025" s="28"/>
      <c r="H1025" s="28"/>
    </row>
    <row r="1026" spans="4:8" s="25" customFormat="1" ht="11.25" customHeight="1">
      <c r="D1026" s="28"/>
      <c r="E1026" s="28"/>
      <c r="F1026" s="28"/>
      <c r="G1026" s="28"/>
      <c r="H1026" s="28"/>
    </row>
    <row r="1027" spans="4:8" s="25" customFormat="1" ht="11.25" customHeight="1">
      <c r="D1027" s="28"/>
      <c r="E1027" s="28"/>
      <c r="F1027" s="28"/>
      <c r="G1027" s="28"/>
      <c r="H1027" s="28"/>
    </row>
    <row r="1028" spans="4:8" s="25" customFormat="1" ht="11.25" customHeight="1">
      <c r="D1028" s="28"/>
      <c r="E1028" s="28"/>
      <c r="F1028" s="28"/>
      <c r="G1028" s="28"/>
      <c r="H1028" s="28"/>
    </row>
    <row r="1029" spans="4:8" s="25" customFormat="1" ht="11.25" customHeight="1">
      <c r="D1029" s="28"/>
      <c r="E1029" s="28"/>
      <c r="F1029" s="28"/>
      <c r="G1029" s="28"/>
      <c r="H1029" s="28"/>
    </row>
    <row r="1030" spans="4:8" s="25" customFormat="1" ht="11.25" customHeight="1">
      <c r="D1030" s="28"/>
      <c r="E1030" s="28"/>
      <c r="F1030" s="28"/>
      <c r="G1030" s="28"/>
      <c r="H1030" s="28"/>
    </row>
    <row r="1031" spans="4:8" s="25" customFormat="1" ht="11.25" customHeight="1">
      <c r="D1031" s="28"/>
      <c r="E1031" s="28"/>
      <c r="F1031" s="28"/>
      <c r="G1031" s="28"/>
      <c r="H1031" s="28"/>
    </row>
    <row r="1032" spans="4:8" s="25" customFormat="1" ht="11.25" customHeight="1">
      <c r="D1032" s="28"/>
      <c r="E1032" s="28"/>
      <c r="F1032" s="28"/>
      <c r="G1032" s="28"/>
      <c r="H1032" s="28"/>
    </row>
    <row r="1033" spans="4:8" s="25" customFormat="1" ht="11.25" customHeight="1">
      <c r="D1033" s="28"/>
      <c r="E1033" s="28"/>
      <c r="F1033" s="28"/>
      <c r="G1033" s="28"/>
      <c r="H1033" s="28"/>
    </row>
    <row r="1034" spans="4:8" s="25" customFormat="1" ht="11.25" customHeight="1">
      <c r="D1034" s="28"/>
      <c r="E1034" s="28"/>
      <c r="F1034" s="28"/>
      <c r="G1034" s="28"/>
      <c r="H1034" s="28"/>
    </row>
    <row r="1035" spans="4:8" s="25" customFormat="1" ht="11.25" customHeight="1">
      <c r="D1035" s="28"/>
      <c r="E1035" s="28"/>
      <c r="F1035" s="28"/>
      <c r="G1035" s="28"/>
      <c r="H1035" s="28"/>
    </row>
    <row r="1036" spans="4:8" s="25" customFormat="1" ht="11.25" customHeight="1">
      <c r="D1036" s="28"/>
      <c r="E1036" s="28"/>
      <c r="F1036" s="28"/>
      <c r="G1036" s="28"/>
      <c r="H1036" s="28"/>
    </row>
    <row r="1037" spans="4:8" s="25" customFormat="1" ht="11.25" customHeight="1">
      <c r="D1037" s="28"/>
      <c r="E1037" s="28"/>
      <c r="F1037" s="28"/>
      <c r="G1037" s="28"/>
      <c r="H1037" s="28"/>
    </row>
    <row r="1038" spans="4:8" s="25" customFormat="1" ht="11.25" customHeight="1">
      <c r="D1038" s="28"/>
      <c r="E1038" s="28"/>
      <c r="F1038" s="28"/>
      <c r="G1038" s="28"/>
      <c r="H1038" s="28"/>
    </row>
    <row r="1039" spans="4:8" s="25" customFormat="1" ht="11.25" customHeight="1">
      <c r="D1039" s="28"/>
      <c r="E1039" s="28"/>
      <c r="F1039" s="28"/>
      <c r="G1039" s="28"/>
      <c r="H1039" s="28"/>
    </row>
    <row r="1040" spans="4:8" s="25" customFormat="1" ht="11.25" customHeight="1">
      <c r="D1040" s="28"/>
      <c r="E1040" s="28"/>
      <c r="F1040" s="28"/>
      <c r="G1040" s="28"/>
      <c r="H1040" s="28"/>
    </row>
    <row r="1041" spans="4:8" s="25" customFormat="1" ht="11.25" customHeight="1">
      <c r="D1041" s="28"/>
      <c r="E1041" s="28"/>
      <c r="F1041" s="28"/>
      <c r="G1041" s="28"/>
      <c r="H1041" s="28"/>
    </row>
    <row r="1042" spans="4:8" s="25" customFormat="1" ht="11.25" customHeight="1">
      <c r="D1042" s="28"/>
      <c r="E1042" s="28"/>
      <c r="F1042" s="28"/>
      <c r="G1042" s="28"/>
      <c r="H1042" s="28"/>
    </row>
    <row r="1043" spans="4:8" s="25" customFormat="1" ht="11.25" customHeight="1">
      <c r="D1043" s="28"/>
      <c r="E1043" s="28"/>
      <c r="F1043" s="28"/>
      <c r="G1043" s="28"/>
      <c r="H1043" s="28"/>
    </row>
    <row r="1044" spans="4:8" s="25" customFormat="1" ht="11.25" customHeight="1">
      <c r="D1044" s="28"/>
      <c r="E1044" s="28"/>
      <c r="F1044" s="28"/>
      <c r="G1044" s="28"/>
      <c r="H1044" s="28"/>
    </row>
    <row r="1045" spans="4:8" s="25" customFormat="1" ht="11.25" customHeight="1">
      <c r="D1045" s="28"/>
      <c r="E1045" s="28"/>
      <c r="F1045" s="28"/>
      <c r="G1045" s="28"/>
      <c r="H1045" s="28"/>
    </row>
    <row r="1046" spans="4:8" s="25" customFormat="1" ht="11.25" customHeight="1">
      <c r="D1046" s="28"/>
      <c r="E1046" s="28"/>
      <c r="F1046" s="28"/>
      <c r="G1046" s="28"/>
      <c r="H1046" s="28"/>
    </row>
    <row r="1047" spans="4:8" s="25" customFormat="1" ht="11.25" customHeight="1">
      <c r="D1047" s="28"/>
      <c r="E1047" s="28"/>
      <c r="F1047" s="28"/>
      <c r="G1047" s="28"/>
      <c r="H1047" s="28"/>
    </row>
    <row r="1048" spans="4:8" s="25" customFormat="1" ht="11.25" customHeight="1">
      <c r="D1048" s="28"/>
      <c r="E1048" s="28"/>
      <c r="F1048" s="28"/>
      <c r="G1048" s="28"/>
      <c r="H1048" s="28"/>
    </row>
    <row r="1049" spans="4:8" s="25" customFormat="1" ht="11.25" customHeight="1">
      <c r="D1049" s="28"/>
      <c r="E1049" s="28"/>
      <c r="F1049" s="28"/>
      <c r="G1049" s="28"/>
      <c r="H1049" s="28"/>
    </row>
    <row r="1050" spans="4:8" s="25" customFormat="1" ht="11.25" customHeight="1">
      <c r="D1050" s="28"/>
      <c r="E1050" s="28"/>
      <c r="F1050" s="28"/>
      <c r="G1050" s="28"/>
      <c r="H1050" s="28"/>
    </row>
    <row r="1051" spans="4:8" s="25" customFormat="1" ht="11.25" customHeight="1">
      <c r="D1051" s="28"/>
      <c r="E1051" s="28"/>
      <c r="F1051" s="28"/>
      <c r="G1051" s="28"/>
      <c r="H1051" s="28"/>
    </row>
    <row r="1052" spans="4:8" s="25" customFormat="1" ht="11.25" customHeight="1">
      <c r="D1052" s="28"/>
      <c r="E1052" s="28"/>
      <c r="F1052" s="28"/>
      <c r="G1052" s="28"/>
      <c r="H1052" s="28"/>
    </row>
    <row r="1053" spans="4:8" s="25" customFormat="1" ht="11.25" customHeight="1">
      <c r="D1053" s="28"/>
      <c r="E1053" s="28"/>
      <c r="F1053" s="28"/>
      <c r="G1053" s="28"/>
      <c r="H1053" s="28"/>
    </row>
    <row r="1054" spans="4:8" s="25" customFormat="1" ht="11.25" customHeight="1">
      <c r="D1054" s="28"/>
      <c r="E1054" s="28"/>
      <c r="F1054" s="28"/>
      <c r="G1054" s="28"/>
      <c r="H1054" s="28"/>
    </row>
    <row r="1055" spans="4:8" s="25" customFormat="1" ht="11.25" customHeight="1">
      <c r="D1055" s="28"/>
      <c r="E1055" s="28"/>
      <c r="F1055" s="28"/>
      <c r="G1055" s="28"/>
      <c r="H1055" s="28"/>
    </row>
    <row r="1056" spans="4:8" s="25" customFormat="1" ht="11.25" customHeight="1">
      <c r="D1056" s="28"/>
      <c r="E1056" s="28"/>
      <c r="F1056" s="28"/>
      <c r="G1056" s="28"/>
      <c r="H1056" s="28"/>
    </row>
    <row r="1057" spans="4:8" s="25" customFormat="1" ht="11.25" customHeight="1">
      <c r="D1057" s="28"/>
      <c r="E1057" s="28"/>
      <c r="F1057" s="28"/>
      <c r="G1057" s="28"/>
      <c r="H1057" s="28"/>
    </row>
    <row r="1058" spans="4:8" s="25" customFormat="1" ht="11.25" customHeight="1">
      <c r="D1058" s="28"/>
      <c r="E1058" s="28"/>
      <c r="F1058" s="28"/>
      <c r="G1058" s="28"/>
      <c r="H1058" s="28"/>
    </row>
    <row r="1059" spans="4:8" s="25" customFormat="1" ht="11.25" customHeight="1">
      <c r="D1059" s="28"/>
      <c r="E1059" s="28"/>
      <c r="F1059" s="28"/>
      <c r="G1059" s="28"/>
      <c r="H1059" s="28"/>
    </row>
    <row r="1060" spans="4:8" s="25" customFormat="1" ht="11.25" customHeight="1">
      <c r="D1060" s="28"/>
      <c r="E1060" s="28"/>
      <c r="F1060" s="28"/>
      <c r="G1060" s="28"/>
      <c r="H1060" s="28"/>
    </row>
    <row r="1061" spans="4:8" s="25" customFormat="1" ht="11.25" customHeight="1">
      <c r="D1061" s="28"/>
      <c r="E1061" s="28"/>
      <c r="F1061" s="28"/>
      <c r="G1061" s="28"/>
      <c r="H1061" s="28"/>
    </row>
    <row r="1062" spans="4:8" s="25" customFormat="1" ht="11.25" customHeight="1">
      <c r="D1062" s="28"/>
      <c r="E1062" s="28"/>
      <c r="F1062" s="28"/>
      <c r="G1062" s="28"/>
      <c r="H1062" s="28"/>
    </row>
    <row r="1063" spans="4:8" s="25" customFormat="1" ht="11.25" customHeight="1">
      <c r="D1063" s="28"/>
      <c r="E1063" s="28"/>
      <c r="F1063" s="28"/>
      <c r="G1063" s="28"/>
      <c r="H1063" s="28"/>
    </row>
    <row r="1064" spans="4:8" s="25" customFormat="1" ht="11.25" customHeight="1">
      <c r="D1064" s="28"/>
      <c r="E1064" s="28"/>
      <c r="F1064" s="28"/>
      <c r="G1064" s="28"/>
      <c r="H1064" s="28"/>
    </row>
    <row r="1065" spans="4:8" s="25" customFormat="1" ht="11.25" customHeight="1">
      <c r="D1065" s="28"/>
      <c r="E1065" s="28"/>
      <c r="F1065" s="28"/>
      <c r="G1065" s="28"/>
      <c r="H1065" s="28"/>
    </row>
    <row r="1066" spans="4:8" s="25" customFormat="1" ht="11.25" customHeight="1">
      <c r="D1066" s="28"/>
      <c r="E1066" s="28"/>
      <c r="F1066" s="28"/>
      <c r="G1066" s="28"/>
      <c r="H1066" s="28"/>
    </row>
    <row r="1067" spans="4:8" s="25" customFormat="1" ht="11.25" customHeight="1">
      <c r="D1067" s="28"/>
      <c r="E1067" s="28"/>
      <c r="F1067" s="28"/>
      <c r="G1067" s="28"/>
      <c r="H1067" s="28"/>
    </row>
    <row r="1068" spans="4:8" s="25" customFormat="1" ht="11.25" customHeight="1">
      <c r="D1068" s="28"/>
      <c r="E1068" s="28"/>
      <c r="F1068" s="28"/>
      <c r="G1068" s="28"/>
      <c r="H1068" s="28"/>
    </row>
    <row r="1069" spans="4:8" s="25" customFormat="1" ht="11.25" customHeight="1">
      <c r="D1069" s="28"/>
      <c r="E1069" s="28"/>
      <c r="F1069" s="28"/>
      <c r="G1069" s="28"/>
      <c r="H1069" s="28"/>
    </row>
    <row r="1070" spans="4:8" s="25" customFormat="1" ht="11.25" customHeight="1">
      <c r="D1070" s="28"/>
      <c r="E1070" s="28"/>
      <c r="F1070" s="28"/>
      <c r="G1070" s="28"/>
      <c r="H1070" s="28"/>
    </row>
    <row r="1071" spans="4:8" s="25" customFormat="1" ht="11.25" customHeight="1">
      <c r="D1071" s="28"/>
      <c r="E1071" s="28"/>
      <c r="F1071" s="28"/>
      <c r="G1071" s="28"/>
      <c r="H1071" s="28"/>
    </row>
    <row r="1072" spans="4:8" s="25" customFormat="1" ht="11.25" customHeight="1">
      <c r="D1072" s="28"/>
      <c r="E1072" s="28"/>
      <c r="F1072" s="28"/>
      <c r="G1072" s="28"/>
      <c r="H1072" s="28"/>
    </row>
    <row r="1073" spans="4:8" s="25" customFormat="1" ht="11.25" customHeight="1">
      <c r="D1073" s="28"/>
      <c r="E1073" s="28"/>
      <c r="F1073" s="28"/>
      <c r="G1073" s="28"/>
      <c r="H1073" s="28"/>
    </row>
    <row r="1074" spans="4:8" s="25" customFormat="1" ht="11.25" customHeight="1">
      <c r="D1074" s="28"/>
      <c r="E1074" s="28"/>
      <c r="F1074" s="28"/>
      <c r="G1074" s="28"/>
      <c r="H1074" s="28"/>
    </row>
    <row r="1075" spans="4:8" s="25" customFormat="1" ht="11.25" customHeight="1">
      <c r="D1075" s="28"/>
      <c r="E1075" s="28"/>
      <c r="F1075" s="28"/>
      <c r="G1075" s="28"/>
      <c r="H1075" s="28"/>
    </row>
    <row r="1076" spans="4:8" s="25" customFormat="1" ht="11.25" customHeight="1">
      <c r="D1076" s="28"/>
      <c r="E1076" s="28"/>
      <c r="F1076" s="28"/>
      <c r="G1076" s="28"/>
      <c r="H1076" s="28"/>
    </row>
    <row r="1077" spans="4:8" s="25" customFormat="1" ht="11.25" customHeight="1">
      <c r="D1077" s="28"/>
      <c r="E1077" s="28"/>
      <c r="F1077" s="28"/>
      <c r="G1077" s="28"/>
      <c r="H1077" s="28"/>
    </row>
    <row r="1078" spans="4:8" s="25" customFormat="1" ht="11.25" customHeight="1">
      <c r="D1078" s="28"/>
      <c r="E1078" s="28"/>
      <c r="F1078" s="28"/>
      <c r="G1078" s="28"/>
      <c r="H1078" s="28"/>
    </row>
    <row r="1079" spans="4:8" s="25" customFormat="1" ht="11.25" customHeight="1">
      <c r="D1079" s="28"/>
      <c r="E1079" s="28"/>
      <c r="F1079" s="28"/>
      <c r="G1079" s="28"/>
      <c r="H1079" s="28"/>
    </row>
    <row r="1080" spans="4:8" s="25" customFormat="1" ht="11.25" customHeight="1">
      <c r="D1080" s="28"/>
      <c r="E1080" s="28"/>
      <c r="F1080" s="28"/>
      <c r="G1080" s="28"/>
      <c r="H1080" s="28"/>
    </row>
    <row r="1081" spans="4:8" s="25" customFormat="1" ht="11.25" customHeight="1">
      <c r="D1081" s="28"/>
      <c r="E1081" s="28"/>
      <c r="F1081" s="28"/>
      <c r="G1081" s="28"/>
      <c r="H1081" s="28"/>
    </row>
    <row r="1082" spans="4:8" s="25" customFormat="1" ht="11.25" customHeight="1">
      <c r="D1082" s="28"/>
      <c r="E1082" s="28"/>
      <c r="F1082" s="28"/>
      <c r="G1082" s="28"/>
      <c r="H1082" s="28"/>
    </row>
    <row r="1083" spans="4:8" s="25" customFormat="1" ht="11.25" customHeight="1">
      <c r="D1083" s="28"/>
      <c r="E1083" s="28"/>
      <c r="F1083" s="28"/>
      <c r="G1083" s="28"/>
      <c r="H1083" s="28"/>
    </row>
    <row r="1084" spans="4:8" s="25" customFormat="1" ht="11.25" customHeight="1">
      <c r="D1084" s="28"/>
      <c r="E1084" s="28"/>
      <c r="F1084" s="28"/>
      <c r="G1084" s="28"/>
      <c r="H1084" s="28"/>
    </row>
    <row r="1085" spans="4:8" s="25" customFormat="1" ht="11.25" customHeight="1">
      <c r="D1085" s="28"/>
      <c r="E1085" s="28"/>
      <c r="F1085" s="28"/>
      <c r="G1085" s="28"/>
      <c r="H1085" s="28"/>
    </row>
    <row r="1086" spans="4:8" s="25" customFormat="1" ht="11.25" customHeight="1">
      <c r="D1086" s="28"/>
      <c r="E1086" s="28"/>
      <c r="F1086" s="28"/>
      <c r="G1086" s="28"/>
      <c r="H1086" s="28"/>
    </row>
    <row r="1087" spans="4:8" s="25" customFormat="1" ht="11.25" customHeight="1">
      <c r="D1087" s="28"/>
      <c r="E1087" s="28"/>
      <c r="F1087" s="28"/>
      <c r="G1087" s="28"/>
      <c r="H1087" s="28"/>
    </row>
    <row r="1088" spans="4:8" s="25" customFormat="1" ht="11.25" customHeight="1">
      <c r="D1088" s="28"/>
      <c r="E1088" s="28"/>
      <c r="F1088" s="28"/>
      <c r="G1088" s="28"/>
      <c r="H1088" s="28"/>
    </row>
    <row r="1089" spans="4:8" s="25" customFormat="1" ht="11.25" customHeight="1">
      <c r="D1089" s="28"/>
      <c r="E1089" s="28"/>
      <c r="F1089" s="28"/>
      <c r="G1089" s="28"/>
      <c r="H1089" s="28"/>
    </row>
    <row r="1090" spans="4:8" s="25" customFormat="1" ht="11.25" customHeight="1">
      <c r="D1090" s="28"/>
      <c r="E1090" s="28"/>
      <c r="F1090" s="28"/>
      <c r="G1090" s="28"/>
      <c r="H1090" s="28"/>
    </row>
    <row r="1091" spans="4:8" s="25" customFormat="1" ht="11.25" customHeight="1">
      <c r="D1091" s="28"/>
      <c r="E1091" s="28"/>
      <c r="F1091" s="28"/>
      <c r="G1091" s="28"/>
      <c r="H1091" s="28"/>
    </row>
    <row r="1092" spans="4:8" s="25" customFormat="1" ht="11.25" customHeight="1">
      <c r="D1092" s="28"/>
      <c r="E1092" s="28"/>
      <c r="F1092" s="28"/>
      <c r="G1092" s="28"/>
      <c r="H1092" s="28"/>
    </row>
    <row r="1093" spans="4:8" s="25" customFormat="1" ht="11.25" customHeight="1">
      <c r="D1093" s="28"/>
      <c r="E1093" s="28"/>
      <c r="F1093" s="28"/>
      <c r="G1093" s="28"/>
      <c r="H1093" s="28"/>
    </row>
    <row r="1094" spans="4:8" s="25" customFormat="1" ht="11.25" customHeight="1">
      <c r="D1094" s="28"/>
      <c r="E1094" s="28"/>
      <c r="F1094" s="28"/>
      <c r="G1094" s="28"/>
      <c r="H1094" s="28"/>
    </row>
    <row r="1095" spans="4:8" s="25" customFormat="1" ht="11.25" customHeight="1">
      <c r="D1095" s="28"/>
      <c r="E1095" s="28"/>
      <c r="F1095" s="28"/>
      <c r="G1095" s="28"/>
      <c r="H1095" s="28"/>
    </row>
    <row r="1096" spans="4:8" s="25" customFormat="1" ht="11.25" customHeight="1">
      <c r="D1096" s="28"/>
      <c r="E1096" s="28"/>
      <c r="F1096" s="28"/>
      <c r="G1096" s="28"/>
      <c r="H1096" s="28"/>
    </row>
    <row r="1097" spans="4:8" s="25" customFormat="1" ht="11.25" customHeight="1">
      <c r="D1097" s="28"/>
      <c r="E1097" s="28"/>
      <c r="F1097" s="28"/>
      <c r="G1097" s="28"/>
      <c r="H1097" s="28"/>
    </row>
    <row r="1098" spans="4:8" s="25" customFormat="1" ht="11.25" customHeight="1">
      <c r="D1098" s="28"/>
      <c r="E1098" s="28"/>
      <c r="F1098" s="28"/>
      <c r="G1098" s="28"/>
      <c r="H1098" s="28"/>
    </row>
    <row r="1099" spans="4:8" s="25" customFormat="1" ht="11.25" customHeight="1">
      <c r="D1099" s="28"/>
      <c r="E1099" s="28"/>
      <c r="F1099" s="28"/>
      <c r="G1099" s="28"/>
      <c r="H1099" s="28"/>
    </row>
    <row r="1100" spans="4:8" s="25" customFormat="1" ht="11.25" customHeight="1">
      <c r="D1100" s="28"/>
      <c r="E1100" s="28"/>
      <c r="F1100" s="28"/>
      <c r="G1100" s="28"/>
      <c r="H1100" s="28"/>
    </row>
    <row r="1101" spans="4:8" s="25" customFormat="1" ht="11.25" customHeight="1">
      <c r="D1101" s="28"/>
      <c r="E1101" s="28"/>
      <c r="F1101" s="28"/>
      <c r="G1101" s="28"/>
      <c r="H1101" s="28"/>
    </row>
    <row r="1102" spans="4:8" s="25" customFormat="1" ht="11.25" customHeight="1">
      <c r="D1102" s="28"/>
      <c r="E1102" s="28"/>
      <c r="F1102" s="28"/>
      <c r="G1102" s="28"/>
      <c r="H1102" s="28"/>
    </row>
    <row r="1103" spans="4:8" s="25" customFormat="1" ht="11.25" customHeight="1">
      <c r="D1103" s="28"/>
      <c r="E1103" s="28"/>
      <c r="F1103" s="28"/>
      <c r="G1103" s="28"/>
      <c r="H1103" s="28"/>
    </row>
    <row r="1104" spans="4:8" s="25" customFormat="1" ht="11.25" customHeight="1">
      <c r="D1104" s="28"/>
      <c r="E1104" s="28"/>
      <c r="F1104" s="28"/>
      <c r="G1104" s="28"/>
      <c r="H1104" s="28"/>
    </row>
    <row r="1105" spans="4:8" s="25" customFormat="1" ht="11.25" customHeight="1">
      <c r="D1105" s="28"/>
      <c r="E1105" s="28"/>
      <c r="F1105" s="28"/>
      <c r="G1105" s="28"/>
      <c r="H1105" s="28"/>
    </row>
    <row r="1106" spans="4:8" s="25" customFormat="1" ht="11.25" customHeight="1">
      <c r="D1106" s="28"/>
      <c r="E1106" s="28"/>
      <c r="F1106" s="28"/>
      <c r="G1106" s="28"/>
      <c r="H1106" s="28"/>
    </row>
    <row r="1107" spans="4:8" s="25" customFormat="1" ht="11.25" customHeight="1">
      <c r="D1107" s="28"/>
      <c r="E1107" s="28"/>
      <c r="F1107" s="28"/>
      <c r="G1107" s="28"/>
      <c r="H1107" s="28"/>
    </row>
    <row r="1108" spans="4:8" s="25" customFormat="1" ht="11.25" customHeight="1">
      <c r="D1108" s="28"/>
      <c r="E1108" s="28"/>
      <c r="F1108" s="28"/>
      <c r="G1108" s="28"/>
      <c r="H1108" s="28"/>
    </row>
    <row r="1109" spans="4:8" s="25" customFormat="1" ht="11.25" customHeight="1">
      <c r="D1109" s="28"/>
      <c r="E1109" s="28"/>
      <c r="F1109" s="28"/>
      <c r="G1109" s="28"/>
      <c r="H1109" s="28"/>
    </row>
    <row r="1110" spans="4:8" s="25" customFormat="1" ht="11.25" customHeight="1">
      <c r="D1110" s="28"/>
      <c r="E1110" s="28"/>
      <c r="F1110" s="28"/>
      <c r="G1110" s="28"/>
      <c r="H1110" s="28"/>
    </row>
    <row r="1111" spans="4:8" s="25" customFormat="1" ht="11.25" customHeight="1">
      <c r="D1111" s="28"/>
      <c r="E1111" s="28"/>
      <c r="F1111" s="28"/>
      <c r="G1111" s="28"/>
      <c r="H1111" s="28"/>
    </row>
    <row r="1112" spans="4:8" s="25" customFormat="1" ht="11.25" customHeight="1">
      <c r="D1112" s="28"/>
      <c r="E1112" s="28"/>
      <c r="F1112" s="28"/>
      <c r="G1112" s="28"/>
      <c r="H1112" s="28"/>
    </row>
    <row r="1113" spans="4:8" s="25" customFormat="1" ht="11.25" customHeight="1">
      <c r="D1113" s="28"/>
      <c r="E1113" s="28"/>
      <c r="F1113" s="28"/>
      <c r="G1113" s="28"/>
      <c r="H1113" s="28"/>
    </row>
    <row r="1114" spans="4:8" s="25" customFormat="1" ht="11.25" customHeight="1">
      <c r="D1114" s="28"/>
      <c r="E1114" s="28"/>
      <c r="F1114" s="28"/>
      <c r="G1114" s="28"/>
      <c r="H1114" s="28"/>
    </row>
    <row r="1115" spans="4:8" s="25" customFormat="1" ht="11.25" customHeight="1">
      <c r="D1115" s="28"/>
      <c r="E1115" s="28"/>
      <c r="F1115" s="28"/>
      <c r="G1115" s="28"/>
      <c r="H1115" s="28"/>
    </row>
    <row r="1116" spans="4:8" s="25" customFormat="1" ht="11.25" customHeight="1">
      <c r="D1116" s="28"/>
      <c r="E1116" s="28"/>
      <c r="F1116" s="28"/>
      <c r="G1116" s="28"/>
      <c r="H1116" s="28"/>
    </row>
    <row r="1117" spans="4:8" s="25" customFormat="1" ht="11.25" customHeight="1">
      <c r="D1117" s="28"/>
      <c r="E1117" s="28"/>
      <c r="F1117" s="28"/>
      <c r="G1117" s="28"/>
      <c r="H1117" s="28"/>
    </row>
    <row r="1118" spans="4:8" s="25" customFormat="1" ht="11.25" customHeight="1">
      <c r="D1118" s="28"/>
      <c r="E1118" s="28"/>
      <c r="F1118" s="28"/>
      <c r="G1118" s="28"/>
      <c r="H1118" s="28"/>
    </row>
    <row r="1119" spans="4:8" s="25" customFormat="1" ht="11.25" customHeight="1">
      <c r="D1119" s="28"/>
      <c r="E1119" s="28"/>
      <c r="F1119" s="28"/>
      <c r="G1119" s="28"/>
      <c r="H1119" s="28"/>
    </row>
    <row r="1120" spans="4:8" s="25" customFormat="1" ht="11.25" customHeight="1">
      <c r="D1120" s="28"/>
      <c r="E1120" s="28"/>
      <c r="F1120" s="28"/>
      <c r="G1120" s="28"/>
      <c r="H1120" s="28"/>
    </row>
    <row r="1121" spans="4:8" s="25" customFormat="1" ht="11.25" customHeight="1">
      <c r="D1121" s="28"/>
      <c r="E1121" s="28"/>
      <c r="F1121" s="28"/>
      <c r="G1121" s="28"/>
      <c r="H1121" s="28"/>
    </row>
    <row r="1122" spans="4:8" s="25" customFormat="1" ht="11.25" customHeight="1">
      <c r="D1122" s="28"/>
      <c r="E1122" s="28"/>
      <c r="F1122" s="28"/>
      <c r="G1122" s="28"/>
      <c r="H1122" s="28"/>
    </row>
    <row r="1123" spans="4:8" s="25" customFormat="1" ht="11.25" customHeight="1">
      <c r="D1123" s="28"/>
      <c r="E1123" s="28"/>
      <c r="F1123" s="28"/>
      <c r="G1123" s="28"/>
      <c r="H1123" s="28"/>
    </row>
    <row r="1124" spans="4:8" s="25" customFormat="1" ht="11.25" customHeight="1">
      <c r="D1124" s="28"/>
      <c r="E1124" s="28"/>
      <c r="F1124" s="28"/>
      <c r="G1124" s="28"/>
      <c r="H1124" s="28"/>
    </row>
    <row r="1125" spans="4:8" s="25" customFormat="1" ht="11.25" customHeight="1">
      <c r="D1125" s="28"/>
      <c r="E1125" s="28"/>
      <c r="F1125" s="28"/>
      <c r="G1125" s="28"/>
      <c r="H1125" s="28"/>
    </row>
    <row r="1126" spans="4:8" s="25" customFormat="1" ht="11.25" customHeight="1">
      <c r="D1126" s="28"/>
      <c r="E1126" s="28"/>
      <c r="F1126" s="28"/>
      <c r="G1126" s="28"/>
      <c r="H1126" s="28"/>
    </row>
    <row r="1127" spans="4:8" s="25" customFormat="1" ht="11.25" customHeight="1">
      <c r="D1127" s="28"/>
      <c r="E1127" s="28"/>
      <c r="F1127" s="28"/>
      <c r="G1127" s="28"/>
      <c r="H1127" s="28"/>
    </row>
    <row r="1128" spans="4:8" s="25" customFormat="1" ht="11.25" customHeight="1">
      <c r="D1128" s="28"/>
      <c r="E1128" s="28"/>
      <c r="F1128" s="28"/>
      <c r="G1128" s="28"/>
      <c r="H1128" s="28"/>
    </row>
    <row r="1129" spans="4:8" s="25" customFormat="1" ht="11.25" customHeight="1">
      <c r="D1129" s="28"/>
      <c r="E1129" s="28"/>
      <c r="F1129" s="28"/>
      <c r="G1129" s="28"/>
      <c r="H1129" s="28"/>
    </row>
    <row r="1130" spans="4:8" s="25" customFormat="1" ht="11.25" customHeight="1">
      <c r="D1130" s="28"/>
      <c r="E1130" s="28"/>
      <c r="F1130" s="28"/>
      <c r="G1130" s="28"/>
      <c r="H1130" s="28"/>
    </row>
    <row r="1131" spans="4:8" s="25" customFormat="1" ht="11.25" customHeight="1">
      <c r="D1131" s="28"/>
      <c r="E1131" s="28"/>
      <c r="F1131" s="28"/>
      <c r="G1131" s="28"/>
      <c r="H1131" s="28"/>
    </row>
    <row r="1132" spans="4:8" s="25" customFormat="1" ht="11.25" customHeight="1">
      <c r="D1132" s="28"/>
      <c r="E1132" s="28"/>
      <c r="F1132" s="28"/>
      <c r="G1132" s="28"/>
      <c r="H1132" s="28"/>
    </row>
    <row r="1133" spans="4:8" s="25" customFormat="1" ht="11.25" customHeight="1">
      <c r="D1133" s="28"/>
      <c r="E1133" s="28"/>
      <c r="F1133" s="28"/>
      <c r="G1133" s="28"/>
      <c r="H1133" s="28"/>
    </row>
    <row r="1134" spans="4:8" s="25" customFormat="1" ht="11.25" customHeight="1">
      <c r="D1134" s="28"/>
      <c r="E1134" s="28"/>
      <c r="F1134" s="28"/>
      <c r="G1134" s="28"/>
      <c r="H1134" s="28"/>
    </row>
    <row r="1135" spans="4:8" s="25" customFormat="1" ht="11.25" customHeight="1">
      <c r="D1135" s="28"/>
      <c r="E1135" s="28"/>
      <c r="F1135" s="28"/>
      <c r="G1135" s="28"/>
      <c r="H1135" s="28"/>
    </row>
    <row r="1136" spans="4:8" s="25" customFormat="1" ht="11.25" customHeight="1">
      <c r="D1136" s="28"/>
      <c r="E1136" s="28"/>
      <c r="F1136" s="28"/>
      <c r="G1136" s="28"/>
      <c r="H1136" s="28"/>
    </row>
    <row r="1137" spans="4:8" s="25" customFormat="1" ht="11.25" customHeight="1">
      <c r="D1137" s="28"/>
      <c r="E1137" s="28"/>
      <c r="F1137" s="28"/>
      <c r="G1137" s="28"/>
      <c r="H1137" s="28"/>
    </row>
    <row r="1138" spans="4:8" s="25" customFormat="1" ht="11.25" customHeight="1">
      <c r="D1138" s="28"/>
      <c r="E1138" s="28"/>
      <c r="F1138" s="28"/>
      <c r="G1138" s="28"/>
      <c r="H1138" s="28"/>
    </row>
    <row r="1139" spans="4:8" s="25" customFormat="1" ht="11.25" customHeight="1">
      <c r="D1139" s="28"/>
      <c r="E1139" s="28"/>
      <c r="F1139" s="28"/>
      <c r="G1139" s="28"/>
      <c r="H1139" s="28"/>
    </row>
    <row r="1140" spans="4:8" s="25" customFormat="1" ht="11.25" customHeight="1">
      <c r="D1140" s="28"/>
      <c r="E1140" s="28"/>
      <c r="F1140" s="28"/>
      <c r="G1140" s="28"/>
      <c r="H1140" s="28"/>
    </row>
    <row r="1141" spans="4:8" s="25" customFormat="1" ht="11.25" customHeight="1">
      <c r="D1141" s="28"/>
      <c r="E1141" s="28"/>
      <c r="F1141" s="28"/>
      <c r="G1141" s="28"/>
      <c r="H1141" s="28"/>
    </row>
    <row r="1142" spans="4:8" s="25" customFormat="1" ht="11.25" customHeight="1">
      <c r="D1142" s="28"/>
      <c r="E1142" s="28"/>
      <c r="F1142" s="28"/>
      <c r="G1142" s="28"/>
      <c r="H1142" s="28"/>
    </row>
    <row r="1143" spans="4:8" s="25" customFormat="1" ht="11.25" customHeight="1">
      <c r="D1143" s="28"/>
      <c r="E1143" s="28"/>
      <c r="F1143" s="28"/>
      <c r="G1143" s="28"/>
      <c r="H1143" s="28"/>
    </row>
    <row r="1144" spans="4:8" s="25" customFormat="1" ht="11.25" customHeight="1">
      <c r="D1144" s="28"/>
      <c r="E1144" s="28"/>
      <c r="F1144" s="28"/>
      <c r="G1144" s="28"/>
      <c r="H1144" s="28"/>
    </row>
    <row r="1145" spans="4:8" s="25" customFormat="1" ht="11.25" customHeight="1">
      <c r="D1145" s="28"/>
      <c r="E1145" s="28"/>
      <c r="F1145" s="28"/>
      <c r="G1145" s="28"/>
      <c r="H1145" s="28"/>
    </row>
    <row r="1146" spans="4:8" s="25" customFormat="1" ht="11.25" customHeight="1">
      <c r="D1146" s="28"/>
      <c r="E1146" s="28"/>
      <c r="F1146" s="28"/>
      <c r="G1146" s="28"/>
      <c r="H1146" s="28"/>
    </row>
    <row r="1147" spans="4:8" s="25" customFormat="1" ht="11.25" customHeight="1">
      <c r="D1147" s="28"/>
      <c r="E1147" s="28"/>
      <c r="F1147" s="28"/>
      <c r="G1147" s="28"/>
      <c r="H1147" s="28"/>
    </row>
    <row r="1148" spans="4:8" s="25" customFormat="1" ht="11.25" customHeight="1">
      <c r="D1148" s="28"/>
      <c r="E1148" s="28"/>
      <c r="F1148" s="28"/>
      <c r="G1148" s="28"/>
      <c r="H1148" s="28"/>
    </row>
    <row r="1149" spans="4:8" s="25" customFormat="1" ht="11.25" customHeight="1">
      <c r="D1149" s="28"/>
      <c r="E1149" s="28"/>
      <c r="F1149" s="28"/>
      <c r="G1149" s="28"/>
      <c r="H1149" s="28"/>
    </row>
    <row r="1150" spans="4:8" s="25" customFormat="1" ht="11.25" customHeight="1">
      <c r="D1150" s="28"/>
      <c r="E1150" s="28"/>
      <c r="F1150" s="28"/>
      <c r="G1150" s="28"/>
      <c r="H1150" s="28"/>
    </row>
    <row r="1151" spans="4:8" s="25" customFormat="1" ht="11.25" customHeight="1">
      <c r="D1151" s="28"/>
      <c r="E1151" s="28"/>
      <c r="F1151" s="28"/>
      <c r="G1151" s="28"/>
      <c r="H1151" s="28"/>
    </row>
    <row r="1152" spans="4:8" s="25" customFormat="1" ht="11.25" customHeight="1">
      <c r="D1152" s="28"/>
      <c r="E1152" s="28"/>
      <c r="F1152" s="28"/>
      <c r="G1152" s="28"/>
      <c r="H1152" s="28"/>
    </row>
    <row r="1153" spans="4:8" s="25" customFormat="1" ht="11.25" customHeight="1">
      <c r="D1153" s="28"/>
      <c r="E1153" s="28"/>
      <c r="F1153" s="28"/>
      <c r="G1153" s="28"/>
      <c r="H1153" s="28"/>
    </row>
    <row r="1154" spans="4:8" s="25" customFormat="1" ht="11.25" customHeight="1">
      <c r="D1154" s="28"/>
      <c r="E1154" s="28"/>
      <c r="F1154" s="28"/>
      <c r="G1154" s="28"/>
      <c r="H1154" s="28"/>
    </row>
    <row r="1155" spans="4:8" s="25" customFormat="1" ht="11.25" customHeight="1">
      <c r="D1155" s="28"/>
      <c r="E1155" s="28"/>
      <c r="F1155" s="28"/>
      <c r="G1155" s="28"/>
      <c r="H1155" s="28"/>
    </row>
    <row r="1156" spans="4:8" s="25" customFormat="1" ht="11.25" customHeight="1">
      <c r="D1156" s="28"/>
      <c r="E1156" s="28"/>
      <c r="F1156" s="28"/>
      <c r="G1156" s="28"/>
      <c r="H1156" s="28"/>
    </row>
    <row r="1157" spans="4:8" s="25" customFormat="1" ht="11.25" customHeight="1">
      <c r="D1157" s="28"/>
      <c r="E1157" s="28"/>
      <c r="F1157" s="28"/>
      <c r="G1157" s="28"/>
      <c r="H1157" s="28"/>
    </row>
    <row r="1158" spans="4:8" s="25" customFormat="1" ht="11.25" customHeight="1">
      <c r="D1158" s="28"/>
      <c r="E1158" s="28"/>
      <c r="F1158" s="28"/>
      <c r="G1158" s="28"/>
      <c r="H1158" s="28"/>
    </row>
    <row r="1159" spans="4:8" s="25" customFormat="1" ht="11.25" customHeight="1">
      <c r="D1159" s="28"/>
      <c r="E1159" s="28"/>
      <c r="F1159" s="28"/>
      <c r="G1159" s="28"/>
      <c r="H1159" s="28"/>
    </row>
    <row r="1160" spans="4:8" s="25" customFormat="1" ht="11.25" customHeight="1">
      <c r="D1160" s="28"/>
      <c r="E1160" s="28"/>
      <c r="F1160" s="28"/>
      <c r="G1160" s="28"/>
      <c r="H1160" s="28"/>
    </row>
    <row r="1161" spans="4:8" s="25" customFormat="1" ht="11.25" customHeight="1">
      <c r="D1161" s="28"/>
      <c r="E1161" s="28"/>
      <c r="F1161" s="28"/>
      <c r="G1161" s="28"/>
      <c r="H1161" s="28"/>
    </row>
    <row r="1162" spans="4:8" s="25" customFormat="1" ht="11.25" customHeight="1">
      <c r="D1162" s="28"/>
      <c r="E1162" s="28"/>
      <c r="F1162" s="28"/>
      <c r="G1162" s="28"/>
      <c r="H1162" s="28"/>
    </row>
    <row r="1163" spans="4:8" s="25" customFormat="1" ht="11.25" customHeight="1">
      <c r="D1163" s="28"/>
      <c r="E1163" s="28"/>
      <c r="F1163" s="28"/>
      <c r="G1163" s="28"/>
      <c r="H1163" s="28"/>
    </row>
    <row r="1164" spans="4:8" s="25" customFormat="1" ht="11.25" customHeight="1">
      <c r="D1164" s="28"/>
      <c r="E1164" s="28"/>
      <c r="F1164" s="28"/>
      <c r="G1164" s="28"/>
      <c r="H1164" s="28"/>
    </row>
    <row r="1165" spans="4:8" s="25" customFormat="1" ht="11.25" customHeight="1">
      <c r="D1165" s="28"/>
      <c r="E1165" s="28"/>
      <c r="F1165" s="28"/>
      <c r="G1165" s="28"/>
      <c r="H1165" s="28"/>
    </row>
    <row r="1166" spans="4:8" s="25" customFormat="1" ht="11.25" customHeight="1">
      <c r="D1166" s="28"/>
      <c r="E1166" s="28"/>
      <c r="F1166" s="28"/>
      <c r="G1166" s="28"/>
      <c r="H1166" s="28"/>
    </row>
    <row r="1167" spans="4:8" s="25" customFormat="1" ht="11.25" customHeight="1">
      <c r="D1167" s="28"/>
      <c r="E1167" s="28"/>
      <c r="F1167" s="28"/>
      <c r="G1167" s="28"/>
      <c r="H1167" s="28"/>
    </row>
    <row r="1168" spans="4:8" s="25" customFormat="1" ht="11.25" customHeight="1">
      <c r="D1168" s="28"/>
      <c r="E1168" s="28"/>
      <c r="F1168" s="28"/>
      <c r="G1168" s="28"/>
      <c r="H1168" s="28"/>
    </row>
    <row r="1169" spans="4:8" s="25" customFormat="1" ht="11.25" customHeight="1">
      <c r="D1169" s="28"/>
      <c r="E1169" s="28"/>
      <c r="F1169" s="28"/>
      <c r="G1169" s="28"/>
      <c r="H1169" s="28"/>
    </row>
    <row r="1170" spans="4:8" s="25" customFormat="1" ht="11.25" customHeight="1">
      <c r="D1170" s="28"/>
      <c r="E1170" s="28"/>
      <c r="F1170" s="28"/>
      <c r="G1170" s="28"/>
      <c r="H1170" s="28"/>
    </row>
    <row r="1171" spans="4:8" s="25" customFormat="1" ht="11.25" customHeight="1">
      <c r="D1171" s="28"/>
      <c r="E1171" s="28"/>
      <c r="F1171" s="28"/>
      <c r="G1171" s="28"/>
      <c r="H1171" s="28"/>
    </row>
    <row r="1172" spans="4:8" s="25" customFormat="1" ht="11.25" customHeight="1">
      <c r="D1172" s="28"/>
      <c r="E1172" s="28"/>
      <c r="F1172" s="28"/>
      <c r="G1172" s="28"/>
      <c r="H1172" s="28"/>
    </row>
    <row r="1173" spans="4:8" s="25" customFormat="1" ht="11.25" customHeight="1">
      <c r="D1173" s="28"/>
      <c r="E1173" s="28"/>
      <c r="F1173" s="28"/>
      <c r="G1173" s="28"/>
      <c r="H1173" s="28"/>
    </row>
    <row r="1174" spans="4:8" s="25" customFormat="1" ht="11.25" customHeight="1">
      <c r="D1174" s="28"/>
      <c r="E1174" s="28"/>
      <c r="F1174" s="28"/>
      <c r="G1174" s="28"/>
      <c r="H1174" s="28"/>
    </row>
    <row r="1175" spans="4:8" s="25" customFormat="1" ht="11.25" customHeight="1">
      <c r="D1175" s="28"/>
      <c r="E1175" s="28"/>
      <c r="F1175" s="28"/>
      <c r="G1175" s="28"/>
      <c r="H1175" s="28"/>
    </row>
    <row r="1176" spans="4:8" s="25" customFormat="1" ht="11.25" customHeight="1">
      <c r="D1176" s="28"/>
      <c r="E1176" s="28"/>
      <c r="F1176" s="28"/>
      <c r="G1176" s="28"/>
      <c r="H1176" s="28"/>
    </row>
    <row r="1177" spans="4:8" s="25" customFormat="1" ht="11.25" customHeight="1">
      <c r="D1177" s="28"/>
      <c r="E1177" s="28"/>
      <c r="F1177" s="28"/>
      <c r="G1177" s="28"/>
      <c r="H1177" s="28"/>
    </row>
    <row r="1178" spans="4:8" s="25" customFormat="1" ht="11.25" customHeight="1">
      <c r="D1178" s="28"/>
      <c r="E1178" s="28"/>
      <c r="F1178" s="28"/>
      <c r="G1178" s="28"/>
      <c r="H1178" s="28"/>
    </row>
    <row r="1179" spans="4:8" s="25" customFormat="1" ht="11.25" customHeight="1">
      <c r="D1179" s="28"/>
      <c r="E1179" s="28"/>
      <c r="F1179" s="28"/>
      <c r="G1179" s="28"/>
      <c r="H1179" s="28"/>
    </row>
    <row r="1180" spans="4:8" s="25" customFormat="1" ht="11.25" customHeight="1">
      <c r="D1180" s="28"/>
      <c r="E1180" s="28"/>
      <c r="F1180" s="28"/>
      <c r="G1180" s="28"/>
      <c r="H1180" s="28"/>
    </row>
    <row r="1181" spans="4:8" s="25" customFormat="1" ht="11.25" customHeight="1">
      <c r="D1181" s="28"/>
      <c r="E1181" s="28"/>
      <c r="F1181" s="28"/>
      <c r="G1181" s="28"/>
      <c r="H1181" s="28"/>
    </row>
    <row r="1182" spans="4:8" s="25" customFormat="1" ht="11.25" customHeight="1">
      <c r="D1182" s="28"/>
      <c r="E1182" s="28"/>
      <c r="F1182" s="28"/>
      <c r="G1182" s="28"/>
      <c r="H1182" s="28"/>
    </row>
    <row r="1183" spans="4:8" s="25" customFormat="1" ht="11.25" customHeight="1">
      <c r="D1183" s="28"/>
      <c r="E1183" s="28"/>
      <c r="F1183" s="28"/>
      <c r="G1183" s="28"/>
      <c r="H1183" s="28"/>
    </row>
    <row r="1184" spans="4:8" s="25" customFormat="1" ht="11.25" customHeight="1">
      <c r="D1184" s="28"/>
      <c r="E1184" s="28"/>
      <c r="F1184" s="28"/>
      <c r="G1184" s="28"/>
      <c r="H1184" s="28"/>
    </row>
    <row r="1185" spans="4:8" s="25" customFormat="1" ht="11.25" customHeight="1">
      <c r="D1185" s="28"/>
      <c r="E1185" s="28"/>
      <c r="F1185" s="28"/>
      <c r="G1185" s="28"/>
      <c r="H1185" s="28"/>
    </row>
    <row r="1186" spans="4:8" s="25" customFormat="1" ht="11.25" customHeight="1">
      <c r="D1186" s="28"/>
      <c r="E1186" s="28"/>
      <c r="F1186" s="28"/>
      <c r="G1186" s="28"/>
      <c r="H1186" s="28"/>
    </row>
    <row r="1187" spans="4:8" s="25" customFormat="1" ht="11.25" customHeight="1">
      <c r="D1187" s="28"/>
      <c r="E1187" s="28"/>
      <c r="F1187" s="28"/>
      <c r="G1187" s="28"/>
      <c r="H1187" s="28"/>
    </row>
    <row r="1188" spans="4:8" s="25" customFormat="1" ht="11.25" customHeight="1">
      <c r="D1188" s="28"/>
      <c r="E1188" s="28"/>
      <c r="F1188" s="28"/>
      <c r="G1188" s="28"/>
      <c r="H1188" s="28"/>
    </row>
    <row r="1189" spans="4:8" s="25" customFormat="1" ht="11.25" customHeight="1">
      <c r="D1189" s="28"/>
      <c r="E1189" s="28"/>
      <c r="F1189" s="28"/>
      <c r="G1189" s="28"/>
      <c r="H1189" s="28"/>
    </row>
    <row r="1190" spans="4:8" s="25" customFormat="1" ht="11.25" customHeight="1">
      <c r="D1190" s="28"/>
      <c r="E1190" s="28"/>
      <c r="F1190" s="28"/>
      <c r="G1190" s="28"/>
      <c r="H1190" s="28"/>
    </row>
    <row r="1191" spans="4:8" s="25" customFormat="1" ht="11.25" customHeight="1">
      <c r="D1191" s="28"/>
      <c r="E1191" s="28"/>
      <c r="F1191" s="28"/>
      <c r="G1191" s="28"/>
      <c r="H1191" s="28"/>
    </row>
    <row r="1192" spans="4:8" s="25" customFormat="1" ht="11.25" customHeight="1">
      <c r="D1192" s="28"/>
      <c r="E1192" s="28"/>
      <c r="F1192" s="28"/>
      <c r="G1192" s="28"/>
      <c r="H1192" s="28"/>
    </row>
    <row r="1193" spans="4:8" s="25" customFormat="1" ht="11.25" customHeight="1">
      <c r="D1193" s="28"/>
      <c r="E1193" s="28"/>
      <c r="F1193" s="28"/>
      <c r="G1193" s="28"/>
      <c r="H1193" s="28"/>
    </row>
    <row r="1194" spans="4:8" s="25" customFormat="1" ht="11.25" customHeight="1">
      <c r="D1194" s="28"/>
      <c r="E1194" s="28"/>
      <c r="F1194" s="28"/>
      <c r="G1194" s="28"/>
      <c r="H1194" s="28"/>
    </row>
    <row r="1195" spans="4:8" s="25" customFormat="1" ht="11.25" customHeight="1">
      <c r="D1195" s="28"/>
      <c r="E1195" s="28"/>
      <c r="F1195" s="28"/>
      <c r="G1195" s="28"/>
      <c r="H1195" s="28"/>
    </row>
    <row r="1196" spans="4:8" s="25" customFormat="1" ht="11.25" customHeight="1">
      <c r="D1196" s="28"/>
      <c r="E1196" s="28"/>
      <c r="F1196" s="28"/>
      <c r="G1196" s="28"/>
      <c r="H1196" s="28"/>
    </row>
    <row r="1197" spans="4:8" s="25" customFormat="1" ht="11.25" customHeight="1">
      <c r="D1197" s="28"/>
      <c r="E1197" s="28"/>
      <c r="F1197" s="28"/>
      <c r="G1197" s="28"/>
      <c r="H1197" s="28"/>
    </row>
    <row r="1198" spans="4:8" s="25" customFormat="1" ht="11.25" customHeight="1">
      <c r="D1198" s="28"/>
      <c r="E1198" s="28"/>
      <c r="F1198" s="28"/>
      <c r="G1198" s="28"/>
      <c r="H1198" s="28"/>
    </row>
    <row r="1199" spans="4:8" s="25" customFormat="1" ht="11.25" customHeight="1">
      <c r="D1199" s="28"/>
      <c r="E1199" s="28"/>
      <c r="F1199" s="28"/>
      <c r="G1199" s="28"/>
      <c r="H1199" s="28"/>
    </row>
    <row r="1200" spans="4:8" s="25" customFormat="1" ht="11.25" customHeight="1">
      <c r="D1200" s="28"/>
      <c r="E1200" s="28"/>
      <c r="F1200" s="28"/>
      <c r="G1200" s="28"/>
      <c r="H1200" s="28"/>
    </row>
    <row r="1201" spans="4:8" s="25" customFormat="1" ht="11.25" customHeight="1">
      <c r="D1201" s="28"/>
      <c r="E1201" s="28"/>
      <c r="F1201" s="28"/>
      <c r="G1201" s="28"/>
      <c r="H1201" s="28"/>
    </row>
    <row r="1202" spans="4:8" s="25" customFormat="1" ht="11.25" customHeight="1">
      <c r="D1202" s="28"/>
      <c r="E1202" s="28"/>
      <c r="F1202" s="28"/>
      <c r="G1202" s="28"/>
      <c r="H1202" s="28"/>
    </row>
    <row r="1203" spans="4:8" s="25" customFormat="1" ht="11.25" customHeight="1">
      <c r="D1203" s="28"/>
      <c r="E1203" s="28"/>
      <c r="F1203" s="28"/>
      <c r="G1203" s="28"/>
      <c r="H1203" s="28"/>
    </row>
    <row r="1204" spans="4:8" s="25" customFormat="1" ht="11.25" customHeight="1">
      <c r="D1204" s="28"/>
      <c r="E1204" s="28"/>
      <c r="F1204" s="28"/>
      <c r="G1204" s="28"/>
      <c r="H1204" s="28"/>
    </row>
    <row r="1205" spans="4:8" s="25" customFormat="1" ht="11.25" customHeight="1">
      <c r="D1205" s="28"/>
      <c r="E1205" s="28"/>
      <c r="F1205" s="28"/>
      <c r="G1205" s="28"/>
      <c r="H1205" s="28"/>
    </row>
    <row r="1206" spans="4:8" s="25" customFormat="1" ht="11.25" customHeight="1">
      <c r="D1206" s="28"/>
      <c r="E1206" s="28"/>
      <c r="F1206" s="28"/>
      <c r="G1206" s="28"/>
      <c r="H1206" s="28"/>
    </row>
    <row r="1207" spans="4:8" s="25" customFormat="1" ht="11.25" customHeight="1">
      <c r="D1207" s="28"/>
      <c r="E1207" s="28"/>
      <c r="F1207" s="28"/>
      <c r="G1207" s="28"/>
      <c r="H1207" s="28"/>
    </row>
    <row r="1208" spans="4:8" s="25" customFormat="1" ht="11.25" customHeight="1">
      <c r="D1208" s="28"/>
      <c r="E1208" s="28"/>
      <c r="F1208" s="28"/>
      <c r="G1208" s="28"/>
      <c r="H1208" s="28"/>
    </row>
    <row r="1209" spans="4:8" s="25" customFormat="1" ht="11.25" customHeight="1">
      <c r="D1209" s="28"/>
      <c r="E1209" s="28"/>
      <c r="F1209" s="28"/>
      <c r="G1209" s="28"/>
      <c r="H1209" s="28"/>
    </row>
    <row r="1210" spans="4:8" s="25" customFormat="1" ht="11.25" customHeight="1">
      <c r="D1210" s="28"/>
      <c r="E1210" s="28"/>
      <c r="F1210" s="28"/>
      <c r="G1210" s="28"/>
      <c r="H1210" s="28"/>
    </row>
    <row r="1211" spans="4:8" s="25" customFormat="1" ht="11.25" customHeight="1">
      <c r="D1211" s="28"/>
      <c r="E1211" s="28"/>
      <c r="F1211" s="28"/>
      <c r="G1211" s="28"/>
      <c r="H1211" s="28"/>
    </row>
    <row r="1212" spans="4:8" s="25" customFormat="1" ht="11.25" customHeight="1">
      <c r="D1212" s="28"/>
      <c r="E1212" s="28"/>
      <c r="F1212" s="28"/>
      <c r="G1212" s="28"/>
      <c r="H1212" s="28"/>
    </row>
    <row r="1213" spans="4:8" s="25" customFormat="1" ht="11.25" customHeight="1">
      <c r="D1213" s="28"/>
      <c r="E1213" s="28"/>
      <c r="F1213" s="28"/>
      <c r="G1213" s="28"/>
      <c r="H1213" s="28"/>
    </row>
    <row r="1214" spans="4:8" s="25" customFormat="1" ht="11.25" customHeight="1">
      <c r="D1214" s="28"/>
      <c r="E1214" s="28"/>
      <c r="F1214" s="28"/>
      <c r="G1214" s="28"/>
      <c r="H1214" s="28"/>
    </row>
    <row r="1215" spans="4:8" s="25" customFormat="1" ht="11.25" customHeight="1">
      <c r="D1215" s="28"/>
      <c r="E1215" s="28"/>
      <c r="F1215" s="28"/>
      <c r="G1215" s="28"/>
      <c r="H1215" s="28"/>
    </row>
    <row r="1216" spans="4:8" s="25" customFormat="1" ht="11.25" customHeight="1">
      <c r="D1216" s="28"/>
      <c r="E1216" s="28"/>
      <c r="F1216" s="28"/>
      <c r="G1216" s="28"/>
      <c r="H1216" s="28"/>
    </row>
    <row r="1217" spans="4:8" s="25" customFormat="1" ht="11.25" customHeight="1">
      <c r="D1217" s="28"/>
      <c r="E1217" s="28"/>
      <c r="F1217" s="28"/>
      <c r="G1217" s="28"/>
      <c r="H1217" s="28"/>
    </row>
    <row r="1218" spans="4:8" s="25" customFormat="1" ht="11.25" customHeight="1">
      <c r="D1218" s="28"/>
      <c r="E1218" s="28"/>
      <c r="F1218" s="28"/>
      <c r="G1218" s="28"/>
      <c r="H1218" s="28"/>
    </row>
    <row r="1219" spans="4:8" s="25" customFormat="1" ht="11.25" customHeight="1">
      <c r="D1219" s="28"/>
      <c r="E1219" s="28"/>
      <c r="F1219" s="28"/>
      <c r="G1219" s="28"/>
      <c r="H1219" s="28"/>
    </row>
    <row r="1220" spans="4:8" s="25" customFormat="1" ht="11.25" customHeight="1">
      <c r="D1220" s="28"/>
      <c r="E1220" s="28"/>
      <c r="F1220" s="28"/>
      <c r="G1220" s="28"/>
      <c r="H1220" s="28"/>
    </row>
    <row r="1221" spans="4:8" s="25" customFormat="1" ht="11.25" customHeight="1">
      <c r="D1221" s="28"/>
      <c r="E1221" s="28"/>
      <c r="F1221" s="28"/>
      <c r="G1221" s="28"/>
      <c r="H1221" s="28"/>
    </row>
    <row r="1222" spans="4:8" s="25" customFormat="1" ht="11.25" customHeight="1">
      <c r="D1222" s="28"/>
      <c r="E1222" s="28"/>
      <c r="F1222" s="28"/>
      <c r="G1222" s="28"/>
      <c r="H1222" s="28"/>
    </row>
    <row r="1223" spans="4:8" s="25" customFormat="1" ht="11.25" customHeight="1">
      <c r="D1223" s="28"/>
      <c r="E1223" s="28"/>
      <c r="F1223" s="28"/>
      <c r="G1223" s="28"/>
      <c r="H1223" s="28"/>
    </row>
    <row r="1224" spans="4:8" s="25" customFormat="1" ht="11.25" customHeight="1">
      <c r="D1224" s="28"/>
      <c r="E1224" s="28"/>
      <c r="F1224" s="28"/>
      <c r="G1224" s="28"/>
      <c r="H1224" s="28"/>
    </row>
    <row r="1225" spans="4:8" s="25" customFormat="1" ht="11.25" customHeight="1">
      <c r="D1225" s="28"/>
      <c r="E1225" s="28"/>
      <c r="F1225" s="28"/>
      <c r="G1225" s="28"/>
      <c r="H1225" s="28"/>
    </row>
    <row r="1226" spans="4:8" s="25" customFormat="1" ht="11.25" customHeight="1">
      <c r="D1226" s="28"/>
      <c r="E1226" s="28"/>
      <c r="F1226" s="28"/>
      <c r="G1226" s="28"/>
      <c r="H1226" s="28"/>
    </row>
    <row r="1227" spans="4:8" s="25" customFormat="1" ht="11.25" customHeight="1">
      <c r="D1227" s="28"/>
      <c r="E1227" s="28"/>
      <c r="F1227" s="28"/>
      <c r="G1227" s="28"/>
      <c r="H1227" s="28"/>
    </row>
    <row r="1228" spans="4:8" s="25" customFormat="1" ht="11.25" customHeight="1">
      <c r="D1228" s="28"/>
      <c r="E1228" s="28"/>
      <c r="F1228" s="28"/>
      <c r="G1228" s="28"/>
      <c r="H1228" s="28"/>
    </row>
    <row r="1229" spans="4:8" s="25" customFormat="1" ht="11.25" customHeight="1">
      <c r="D1229" s="28"/>
      <c r="E1229" s="28"/>
      <c r="F1229" s="28"/>
      <c r="G1229" s="28"/>
      <c r="H1229" s="28"/>
    </row>
    <row r="1230" spans="4:8" s="25" customFormat="1" ht="11.25" customHeight="1">
      <c r="D1230" s="28"/>
      <c r="E1230" s="28"/>
      <c r="F1230" s="28"/>
      <c r="G1230" s="28"/>
      <c r="H1230" s="28"/>
    </row>
    <row r="1231" spans="4:8" s="25" customFormat="1" ht="11.25" customHeight="1">
      <c r="D1231" s="28"/>
      <c r="E1231" s="28"/>
      <c r="F1231" s="28"/>
      <c r="G1231" s="28"/>
      <c r="H1231" s="28"/>
    </row>
    <row r="1232" spans="4:8" s="25" customFormat="1" ht="11.25" customHeight="1">
      <c r="D1232" s="28"/>
      <c r="E1232" s="28"/>
      <c r="F1232" s="28"/>
      <c r="G1232" s="28"/>
      <c r="H1232" s="28"/>
    </row>
    <row r="1233" spans="4:8" s="25" customFormat="1" ht="11.25" customHeight="1">
      <c r="D1233" s="28"/>
      <c r="E1233" s="28"/>
      <c r="F1233" s="28"/>
      <c r="G1233" s="28"/>
      <c r="H1233" s="28"/>
    </row>
    <row r="1234" spans="4:8" s="25" customFormat="1" ht="11.25" customHeight="1">
      <c r="D1234" s="28"/>
      <c r="E1234" s="28"/>
      <c r="F1234" s="28"/>
      <c r="G1234" s="28"/>
      <c r="H1234" s="28"/>
    </row>
    <row r="1235" spans="4:8" s="25" customFormat="1" ht="11.25" customHeight="1">
      <c r="D1235" s="28"/>
      <c r="E1235" s="28"/>
      <c r="F1235" s="28"/>
      <c r="G1235" s="28"/>
      <c r="H1235" s="28"/>
    </row>
    <row r="1236" spans="4:8" s="25" customFormat="1" ht="11.25" customHeight="1">
      <c r="D1236" s="28"/>
      <c r="E1236" s="28"/>
      <c r="F1236" s="28"/>
      <c r="G1236" s="28"/>
      <c r="H1236" s="28"/>
    </row>
    <row r="1237" spans="4:8" s="25" customFormat="1" ht="11.25" customHeight="1">
      <c r="D1237" s="28"/>
      <c r="E1237" s="28"/>
      <c r="F1237" s="28"/>
      <c r="G1237" s="28"/>
      <c r="H1237" s="28"/>
    </row>
    <row r="1238" spans="4:8" s="25" customFormat="1" ht="11.25" customHeight="1">
      <c r="D1238" s="28"/>
      <c r="E1238" s="28"/>
      <c r="F1238" s="28"/>
      <c r="G1238" s="28"/>
      <c r="H1238" s="28"/>
    </row>
    <row r="1239" spans="4:8" s="25" customFormat="1" ht="11.25" customHeight="1">
      <c r="D1239" s="28"/>
      <c r="E1239" s="28"/>
      <c r="F1239" s="28"/>
      <c r="G1239" s="28"/>
      <c r="H1239" s="28"/>
    </row>
    <row r="1240" spans="4:8" s="25" customFormat="1" ht="11.25" customHeight="1">
      <c r="D1240" s="28"/>
      <c r="E1240" s="28"/>
      <c r="F1240" s="28"/>
      <c r="G1240" s="28"/>
      <c r="H1240" s="28"/>
    </row>
    <row r="1241" spans="4:8" s="25" customFormat="1" ht="11.25" customHeight="1">
      <c r="D1241" s="28"/>
      <c r="E1241" s="28"/>
      <c r="F1241" s="28"/>
      <c r="G1241" s="28"/>
      <c r="H1241" s="28"/>
    </row>
    <row r="1242" spans="4:8" s="25" customFormat="1" ht="11.25" customHeight="1">
      <c r="D1242" s="28"/>
      <c r="E1242" s="28"/>
      <c r="F1242" s="28"/>
      <c r="G1242" s="28"/>
      <c r="H1242" s="28"/>
    </row>
    <row r="1243" spans="4:8" s="25" customFormat="1" ht="11.25" customHeight="1">
      <c r="D1243" s="28"/>
      <c r="E1243" s="28"/>
      <c r="F1243" s="28"/>
      <c r="G1243" s="28"/>
      <c r="H1243" s="28"/>
    </row>
    <row r="1244" spans="4:8" s="25" customFormat="1" ht="11.25" customHeight="1">
      <c r="D1244" s="28"/>
      <c r="E1244" s="28"/>
      <c r="F1244" s="28"/>
      <c r="G1244" s="28"/>
      <c r="H1244" s="28"/>
    </row>
    <row r="1245" spans="4:8" s="25" customFormat="1" ht="11.25" customHeight="1">
      <c r="D1245" s="28"/>
      <c r="E1245" s="28"/>
      <c r="F1245" s="28"/>
      <c r="G1245" s="28"/>
      <c r="H1245" s="28"/>
    </row>
    <row r="1246" spans="4:8" s="25" customFormat="1" ht="11.25" customHeight="1">
      <c r="D1246" s="28"/>
      <c r="E1246" s="28"/>
      <c r="F1246" s="28"/>
      <c r="G1246" s="28"/>
      <c r="H1246" s="28"/>
    </row>
    <row r="1247" spans="4:8" s="25" customFormat="1" ht="11.25" customHeight="1">
      <c r="D1247" s="28"/>
      <c r="E1247" s="28"/>
      <c r="F1247" s="28"/>
      <c r="G1247" s="28"/>
      <c r="H1247" s="28"/>
    </row>
    <row r="1248" spans="4:8" s="25" customFormat="1" ht="11.25" customHeight="1">
      <c r="D1248" s="28"/>
      <c r="E1248" s="28"/>
      <c r="F1248" s="28"/>
      <c r="G1248" s="28"/>
      <c r="H1248" s="28"/>
    </row>
    <row r="1249" spans="4:8" s="25" customFormat="1" ht="11.25" customHeight="1">
      <c r="D1249" s="28"/>
      <c r="E1249" s="28"/>
      <c r="F1249" s="28"/>
      <c r="G1249" s="28"/>
      <c r="H1249" s="28"/>
    </row>
    <row r="1250" spans="4:8" s="25" customFormat="1" ht="11.25" customHeight="1">
      <c r="D1250" s="28"/>
      <c r="E1250" s="28"/>
      <c r="F1250" s="28"/>
      <c r="G1250" s="28"/>
      <c r="H1250" s="28"/>
    </row>
    <row r="1251" spans="4:8" s="25" customFormat="1" ht="11.25" customHeight="1">
      <c r="D1251" s="28"/>
      <c r="E1251" s="28"/>
      <c r="F1251" s="28"/>
      <c r="G1251" s="28"/>
      <c r="H1251" s="28"/>
    </row>
    <row r="1252" spans="4:8" s="25" customFormat="1" ht="11.25" customHeight="1">
      <c r="D1252" s="28"/>
      <c r="E1252" s="28"/>
      <c r="F1252" s="28"/>
      <c r="G1252" s="28"/>
      <c r="H1252" s="28"/>
    </row>
    <row r="1253" spans="4:8" s="25" customFormat="1" ht="11.25" customHeight="1">
      <c r="D1253" s="28"/>
      <c r="E1253" s="28"/>
      <c r="F1253" s="28"/>
      <c r="G1253" s="28"/>
      <c r="H1253" s="28"/>
    </row>
    <row r="1254" spans="4:8" s="25" customFormat="1" ht="11.25" customHeight="1">
      <c r="D1254" s="28"/>
      <c r="E1254" s="28"/>
      <c r="F1254" s="28"/>
      <c r="G1254" s="28"/>
      <c r="H1254" s="28"/>
    </row>
    <row r="1255" spans="4:8" s="25" customFormat="1" ht="11.25" customHeight="1">
      <c r="D1255" s="28"/>
      <c r="E1255" s="28"/>
      <c r="F1255" s="28"/>
      <c r="G1255" s="28"/>
      <c r="H1255" s="28"/>
    </row>
    <row r="1256" spans="4:8" s="25" customFormat="1" ht="11.25" customHeight="1">
      <c r="D1256" s="28"/>
      <c r="E1256" s="28"/>
      <c r="F1256" s="28"/>
      <c r="G1256" s="28"/>
      <c r="H1256" s="28"/>
    </row>
    <row r="1257" spans="4:8" s="25" customFormat="1" ht="11.25" customHeight="1">
      <c r="D1257" s="28"/>
      <c r="E1257" s="28"/>
      <c r="F1257" s="28"/>
      <c r="G1257" s="28"/>
      <c r="H1257" s="28"/>
    </row>
    <row r="1258" spans="4:8" s="25" customFormat="1" ht="11.25" customHeight="1">
      <c r="D1258" s="28"/>
      <c r="E1258" s="28"/>
      <c r="F1258" s="28"/>
      <c r="G1258" s="28"/>
      <c r="H1258" s="28"/>
    </row>
    <row r="1259" spans="4:8" s="25" customFormat="1" ht="11.25" customHeight="1">
      <c r="D1259" s="28"/>
      <c r="E1259" s="28"/>
      <c r="F1259" s="28"/>
      <c r="G1259" s="28"/>
      <c r="H1259" s="28"/>
    </row>
    <row r="1260" spans="4:8" s="25" customFormat="1" ht="11.25" customHeight="1">
      <c r="D1260" s="28"/>
      <c r="E1260" s="28"/>
      <c r="F1260" s="28"/>
      <c r="G1260" s="28"/>
      <c r="H1260" s="28"/>
    </row>
    <row r="1261" spans="4:8" s="25" customFormat="1" ht="11.25" customHeight="1">
      <c r="D1261" s="28"/>
      <c r="E1261" s="28"/>
      <c r="F1261" s="28"/>
      <c r="G1261" s="28"/>
      <c r="H1261" s="28"/>
    </row>
    <row r="1262" spans="4:8" s="25" customFormat="1" ht="11.25" customHeight="1">
      <c r="D1262" s="28"/>
      <c r="E1262" s="28"/>
      <c r="F1262" s="28"/>
      <c r="G1262" s="28"/>
      <c r="H1262" s="28"/>
    </row>
    <row r="1263" spans="4:8" s="25" customFormat="1" ht="11.25" customHeight="1">
      <c r="D1263" s="28"/>
      <c r="E1263" s="28"/>
      <c r="F1263" s="28"/>
      <c r="G1263" s="28"/>
      <c r="H1263" s="28"/>
    </row>
    <row r="1264" spans="4:8" s="25" customFormat="1" ht="11.25" customHeight="1">
      <c r="D1264" s="28"/>
      <c r="E1264" s="28"/>
      <c r="F1264" s="28"/>
      <c r="G1264" s="28"/>
      <c r="H1264" s="28"/>
    </row>
    <row r="1265" spans="4:8" s="25" customFormat="1" ht="11.25" customHeight="1">
      <c r="D1265" s="28"/>
      <c r="E1265" s="28"/>
      <c r="F1265" s="28"/>
      <c r="G1265" s="28"/>
      <c r="H1265" s="28"/>
    </row>
    <row r="1266" spans="4:8" s="25" customFormat="1" ht="11.25" customHeight="1">
      <c r="D1266" s="28"/>
      <c r="E1266" s="28"/>
      <c r="F1266" s="28"/>
      <c r="G1266" s="28"/>
      <c r="H1266" s="28"/>
    </row>
    <row r="1267" spans="4:8" s="25" customFormat="1" ht="11.25" customHeight="1">
      <c r="D1267" s="28"/>
      <c r="E1267" s="28"/>
      <c r="F1267" s="28"/>
      <c r="G1267" s="28"/>
      <c r="H1267" s="28"/>
    </row>
    <row r="1268" spans="4:8" s="25" customFormat="1" ht="11.25" customHeight="1">
      <c r="D1268" s="28"/>
      <c r="E1268" s="28"/>
      <c r="F1268" s="28"/>
      <c r="G1268" s="28"/>
      <c r="H1268" s="28"/>
    </row>
    <row r="1269" spans="4:8" s="25" customFormat="1" ht="11.25" customHeight="1">
      <c r="D1269" s="28"/>
      <c r="E1269" s="28"/>
      <c r="F1269" s="28"/>
      <c r="G1269" s="28"/>
      <c r="H1269" s="28"/>
    </row>
    <row r="1270" spans="4:8" s="25" customFormat="1" ht="11.25" customHeight="1">
      <c r="D1270" s="28"/>
      <c r="E1270" s="28"/>
      <c r="F1270" s="28"/>
      <c r="G1270" s="28"/>
      <c r="H1270" s="28"/>
    </row>
    <row r="1271" spans="4:8" s="25" customFormat="1" ht="11.25" customHeight="1">
      <c r="D1271" s="28"/>
      <c r="E1271" s="28"/>
      <c r="F1271" s="28"/>
      <c r="G1271" s="28"/>
      <c r="H1271" s="28"/>
    </row>
    <row r="1272" spans="4:8" s="25" customFormat="1" ht="11.25" customHeight="1">
      <c r="D1272" s="28"/>
      <c r="E1272" s="28"/>
      <c r="F1272" s="28"/>
      <c r="G1272" s="28"/>
      <c r="H1272" s="28"/>
    </row>
    <row r="1273" spans="4:8" s="25" customFormat="1" ht="11.25" customHeight="1">
      <c r="D1273" s="28"/>
      <c r="E1273" s="28"/>
      <c r="F1273" s="28"/>
      <c r="G1273" s="28"/>
      <c r="H1273" s="28"/>
    </row>
    <row r="1274" spans="4:8" s="25" customFormat="1" ht="11.25" customHeight="1">
      <c r="D1274" s="28"/>
      <c r="E1274" s="28"/>
      <c r="F1274" s="28"/>
      <c r="G1274" s="28"/>
      <c r="H1274" s="28"/>
    </row>
    <row r="1275" spans="4:8" s="25" customFormat="1" ht="11.25" customHeight="1">
      <c r="D1275" s="28"/>
      <c r="E1275" s="28"/>
      <c r="F1275" s="28"/>
      <c r="G1275" s="28"/>
      <c r="H1275" s="28"/>
    </row>
    <row r="1276" spans="4:8" s="25" customFormat="1" ht="11.25" customHeight="1">
      <c r="D1276" s="28"/>
      <c r="E1276" s="28"/>
      <c r="F1276" s="28"/>
      <c r="G1276" s="28"/>
      <c r="H1276" s="28"/>
    </row>
    <row r="1277" spans="4:8" s="25" customFormat="1" ht="11.25" customHeight="1">
      <c r="D1277" s="28"/>
      <c r="E1277" s="28"/>
      <c r="F1277" s="28"/>
      <c r="G1277" s="28"/>
      <c r="H1277" s="28"/>
    </row>
    <row r="1278" spans="4:8" s="25" customFormat="1" ht="11.25" customHeight="1">
      <c r="D1278" s="28"/>
      <c r="E1278" s="28"/>
      <c r="F1278" s="28"/>
      <c r="G1278" s="28"/>
      <c r="H1278" s="28"/>
    </row>
    <row r="1279" spans="4:8" s="25" customFormat="1" ht="11.25" customHeight="1">
      <c r="D1279" s="28"/>
      <c r="E1279" s="28"/>
      <c r="F1279" s="28"/>
      <c r="G1279" s="28"/>
      <c r="H1279" s="28"/>
    </row>
    <row r="1280" spans="4:8" s="25" customFormat="1" ht="11.25" customHeight="1">
      <c r="D1280" s="28"/>
      <c r="E1280" s="28"/>
      <c r="F1280" s="28"/>
      <c r="G1280" s="28"/>
      <c r="H1280" s="28"/>
    </row>
    <row r="1281" spans="4:8" s="25" customFormat="1" ht="11.25" customHeight="1">
      <c r="D1281" s="28"/>
      <c r="E1281" s="28"/>
      <c r="F1281" s="28"/>
      <c r="G1281" s="28"/>
      <c r="H1281" s="28"/>
    </row>
    <row r="1282" spans="4:8" s="25" customFormat="1" ht="11.25" customHeight="1">
      <c r="D1282" s="28"/>
      <c r="E1282" s="28"/>
      <c r="F1282" s="28"/>
      <c r="G1282" s="28"/>
      <c r="H1282" s="28"/>
    </row>
    <row r="1283" spans="4:8" s="25" customFormat="1" ht="11.25" customHeight="1">
      <c r="D1283" s="28"/>
      <c r="E1283" s="28"/>
      <c r="F1283" s="28"/>
      <c r="G1283" s="28"/>
      <c r="H1283" s="28"/>
    </row>
    <row r="1284" spans="4:8" s="25" customFormat="1" ht="11.25" customHeight="1">
      <c r="D1284" s="28"/>
      <c r="E1284" s="28"/>
      <c r="F1284" s="28"/>
      <c r="G1284" s="28"/>
      <c r="H1284" s="28"/>
    </row>
    <row r="1285" spans="4:8" s="25" customFormat="1" ht="11.25" customHeight="1">
      <c r="D1285" s="28"/>
      <c r="E1285" s="28"/>
      <c r="F1285" s="28"/>
      <c r="G1285" s="28"/>
      <c r="H1285" s="28"/>
    </row>
    <row r="1286" spans="4:8" s="25" customFormat="1" ht="11.25" customHeight="1">
      <c r="D1286" s="28"/>
      <c r="E1286" s="28"/>
      <c r="F1286" s="28"/>
      <c r="G1286" s="28"/>
      <c r="H1286" s="28"/>
    </row>
    <row r="1287" spans="4:8" s="25" customFormat="1" ht="11.25" customHeight="1">
      <c r="D1287" s="28"/>
      <c r="E1287" s="28"/>
      <c r="F1287" s="28"/>
      <c r="G1287" s="28"/>
      <c r="H1287" s="28"/>
    </row>
    <row r="1288" spans="4:8" s="25" customFormat="1" ht="11.25" customHeight="1">
      <c r="D1288" s="28"/>
      <c r="E1288" s="28"/>
      <c r="F1288" s="28"/>
      <c r="G1288" s="28"/>
      <c r="H1288" s="28"/>
    </row>
    <row r="1289" spans="4:8" s="25" customFormat="1" ht="11.25" customHeight="1">
      <c r="D1289" s="28"/>
      <c r="E1289" s="28"/>
      <c r="F1289" s="28"/>
      <c r="G1289" s="28"/>
      <c r="H1289" s="28"/>
    </row>
    <row r="1290" spans="4:8" s="25" customFormat="1" ht="11.25" customHeight="1">
      <c r="D1290" s="28"/>
      <c r="E1290" s="28"/>
      <c r="F1290" s="28"/>
      <c r="G1290" s="28"/>
      <c r="H1290" s="28"/>
    </row>
    <row r="1291" spans="4:8" s="25" customFormat="1" ht="11.25" customHeight="1">
      <c r="D1291" s="28"/>
      <c r="E1291" s="28"/>
      <c r="F1291" s="28"/>
      <c r="G1291" s="28"/>
      <c r="H1291" s="28"/>
    </row>
    <row r="1292" spans="4:8" s="25" customFormat="1" ht="11.25" customHeight="1">
      <c r="D1292" s="28"/>
      <c r="E1292" s="28"/>
      <c r="F1292" s="28"/>
      <c r="G1292" s="28"/>
      <c r="H1292" s="28"/>
    </row>
    <row r="1293" spans="4:8" s="25" customFormat="1" ht="11.25" customHeight="1">
      <c r="D1293" s="28"/>
      <c r="E1293" s="28"/>
      <c r="F1293" s="28"/>
      <c r="G1293" s="28"/>
      <c r="H1293" s="28"/>
    </row>
    <row r="1294" spans="4:8" s="25" customFormat="1" ht="11.25" customHeight="1">
      <c r="D1294" s="28"/>
      <c r="E1294" s="28"/>
      <c r="F1294" s="28"/>
      <c r="G1294" s="28"/>
      <c r="H1294" s="28"/>
    </row>
    <row r="1295" spans="4:8" s="25" customFormat="1" ht="11.25" customHeight="1">
      <c r="D1295" s="28"/>
      <c r="E1295" s="28"/>
      <c r="F1295" s="28"/>
      <c r="G1295" s="28"/>
      <c r="H1295" s="28"/>
    </row>
    <row r="1296" spans="4:8" s="25" customFormat="1" ht="11.25" customHeight="1">
      <c r="D1296" s="28"/>
      <c r="E1296" s="28"/>
      <c r="F1296" s="28"/>
      <c r="G1296" s="28"/>
      <c r="H1296" s="28"/>
    </row>
    <row r="1297" spans="4:8" s="25" customFormat="1" ht="11.25" customHeight="1">
      <c r="D1297" s="28"/>
      <c r="E1297" s="28"/>
      <c r="F1297" s="28"/>
      <c r="G1297" s="28"/>
      <c r="H1297" s="28"/>
    </row>
    <row r="1298" spans="4:8" s="25" customFormat="1" ht="11.25" customHeight="1">
      <c r="D1298" s="28"/>
      <c r="E1298" s="28"/>
      <c r="F1298" s="28"/>
      <c r="G1298" s="28"/>
      <c r="H1298" s="28"/>
    </row>
    <row r="1299" spans="4:8" s="25" customFormat="1" ht="11.25" customHeight="1">
      <c r="D1299" s="28"/>
      <c r="E1299" s="28"/>
      <c r="F1299" s="28"/>
      <c r="G1299" s="28"/>
      <c r="H1299" s="28"/>
    </row>
    <row r="1300" spans="4:8" s="25" customFormat="1" ht="11.25" customHeight="1">
      <c r="D1300" s="28"/>
      <c r="E1300" s="28"/>
      <c r="F1300" s="28"/>
      <c r="G1300" s="28"/>
      <c r="H1300" s="28"/>
    </row>
    <row r="1301" spans="4:8" s="25" customFormat="1" ht="11.25" customHeight="1">
      <c r="D1301" s="28"/>
      <c r="E1301" s="28"/>
      <c r="F1301" s="28"/>
      <c r="G1301" s="28"/>
      <c r="H1301" s="28"/>
    </row>
    <row r="1302" spans="4:8" s="25" customFormat="1" ht="11.25" customHeight="1">
      <c r="D1302" s="28"/>
      <c r="E1302" s="28"/>
      <c r="F1302" s="28"/>
      <c r="G1302" s="28"/>
      <c r="H1302" s="28"/>
    </row>
    <row r="1303" spans="4:8" s="25" customFormat="1" ht="11.25" customHeight="1">
      <c r="D1303" s="28"/>
      <c r="E1303" s="28"/>
      <c r="F1303" s="28"/>
      <c r="G1303" s="28"/>
      <c r="H1303" s="28"/>
    </row>
    <row r="1304" spans="4:8" s="25" customFormat="1" ht="11.25" customHeight="1">
      <c r="D1304" s="28"/>
      <c r="E1304" s="28"/>
      <c r="F1304" s="28"/>
      <c r="G1304" s="28"/>
      <c r="H1304" s="28"/>
    </row>
    <row r="1305" spans="4:8" s="25" customFormat="1" ht="11.25" customHeight="1">
      <c r="D1305" s="28"/>
      <c r="E1305" s="28"/>
      <c r="F1305" s="28"/>
      <c r="G1305" s="28"/>
      <c r="H1305" s="28"/>
    </row>
    <row r="1306" spans="4:8" s="25" customFormat="1" ht="11.25" customHeight="1">
      <c r="D1306" s="28"/>
      <c r="E1306" s="28"/>
      <c r="F1306" s="28"/>
      <c r="G1306" s="28"/>
      <c r="H1306" s="28"/>
    </row>
    <row r="1307" spans="4:8" s="25" customFormat="1" ht="11.25" customHeight="1">
      <c r="D1307" s="28"/>
      <c r="E1307" s="28"/>
      <c r="F1307" s="28"/>
      <c r="G1307" s="28"/>
      <c r="H1307" s="28"/>
    </row>
    <row r="1308" spans="4:8" s="25" customFormat="1" ht="11.25" customHeight="1">
      <c r="D1308" s="28"/>
      <c r="E1308" s="28"/>
      <c r="F1308" s="28"/>
      <c r="G1308" s="28"/>
      <c r="H1308" s="28"/>
    </row>
    <row r="1309" spans="4:8" s="25" customFormat="1" ht="11.25" customHeight="1">
      <c r="D1309" s="28"/>
      <c r="E1309" s="28"/>
      <c r="F1309" s="28"/>
      <c r="G1309" s="28"/>
      <c r="H1309" s="28"/>
    </row>
    <row r="1310" spans="4:8" s="25" customFormat="1" ht="11.25" customHeight="1">
      <c r="D1310" s="28"/>
      <c r="E1310" s="28"/>
      <c r="F1310" s="28"/>
      <c r="G1310" s="28"/>
      <c r="H1310" s="28"/>
    </row>
    <row r="1311" spans="4:8" s="25" customFormat="1" ht="11.25" customHeight="1">
      <c r="D1311" s="28"/>
      <c r="E1311" s="28"/>
      <c r="F1311" s="28"/>
      <c r="G1311" s="28"/>
      <c r="H1311" s="28"/>
    </row>
    <row r="1312" spans="4:8" s="25" customFormat="1" ht="11.25" customHeight="1">
      <c r="D1312" s="28"/>
      <c r="E1312" s="28"/>
      <c r="F1312" s="28"/>
      <c r="G1312" s="28"/>
      <c r="H1312" s="28"/>
    </row>
    <row r="1313" spans="4:8" s="25" customFormat="1" ht="11.25" customHeight="1">
      <c r="D1313" s="28"/>
      <c r="E1313" s="28"/>
      <c r="F1313" s="28"/>
      <c r="G1313" s="28"/>
      <c r="H1313" s="28"/>
    </row>
    <row r="1314" spans="4:8" s="25" customFormat="1" ht="11.25" customHeight="1">
      <c r="D1314" s="28"/>
      <c r="E1314" s="28"/>
      <c r="F1314" s="28"/>
      <c r="G1314" s="28"/>
      <c r="H1314" s="28"/>
    </row>
    <row r="1315" spans="4:8" s="25" customFormat="1" ht="11.25" customHeight="1">
      <c r="D1315" s="28"/>
      <c r="E1315" s="28"/>
      <c r="F1315" s="28"/>
      <c r="G1315" s="28"/>
      <c r="H1315" s="28"/>
    </row>
    <row r="1316" spans="4:8" s="25" customFormat="1" ht="11.25" customHeight="1">
      <c r="D1316" s="28"/>
      <c r="E1316" s="28"/>
      <c r="F1316" s="28"/>
      <c r="G1316" s="28"/>
      <c r="H1316" s="28"/>
    </row>
    <row r="1317" spans="4:8" s="25" customFormat="1" ht="11.25" customHeight="1">
      <c r="D1317" s="28"/>
      <c r="E1317" s="28"/>
      <c r="F1317" s="28"/>
      <c r="G1317" s="28"/>
      <c r="H1317" s="28"/>
    </row>
    <row r="1318" spans="4:8" s="25" customFormat="1" ht="11.25" customHeight="1">
      <c r="D1318" s="28"/>
      <c r="E1318" s="28"/>
      <c r="F1318" s="28"/>
      <c r="G1318" s="28"/>
      <c r="H1318" s="28"/>
    </row>
    <row r="1319" spans="4:8" s="25" customFormat="1" ht="11.25" customHeight="1">
      <c r="D1319" s="28"/>
      <c r="E1319" s="28"/>
      <c r="F1319" s="28"/>
      <c r="G1319" s="28"/>
      <c r="H1319" s="28"/>
    </row>
    <row r="1320" spans="4:8" s="25" customFormat="1" ht="11.25" customHeight="1">
      <c r="D1320" s="28"/>
      <c r="E1320" s="28"/>
      <c r="F1320" s="28"/>
      <c r="G1320" s="28"/>
      <c r="H1320" s="28"/>
    </row>
    <row r="1321" spans="4:8" s="25" customFormat="1" ht="11.25" customHeight="1">
      <c r="D1321" s="28"/>
      <c r="E1321" s="28"/>
      <c r="F1321" s="28"/>
      <c r="G1321" s="28"/>
      <c r="H1321" s="28"/>
    </row>
    <row r="1322" spans="4:8" s="25" customFormat="1" ht="11.25" customHeight="1">
      <c r="D1322" s="28"/>
      <c r="E1322" s="28"/>
      <c r="F1322" s="28"/>
      <c r="G1322" s="28"/>
      <c r="H1322" s="28"/>
    </row>
    <row r="1323" spans="4:8" s="25" customFormat="1" ht="11.25" customHeight="1">
      <c r="D1323" s="28"/>
      <c r="E1323" s="28"/>
      <c r="F1323" s="28"/>
      <c r="G1323" s="28"/>
      <c r="H1323" s="28"/>
    </row>
    <row r="1324" spans="4:8" s="25" customFormat="1" ht="11.25" customHeight="1">
      <c r="D1324" s="28"/>
      <c r="E1324" s="28"/>
      <c r="F1324" s="28"/>
      <c r="G1324" s="28"/>
      <c r="H1324" s="28"/>
    </row>
    <row r="1325" spans="4:8" s="25" customFormat="1" ht="11.25" customHeight="1">
      <c r="D1325" s="28"/>
      <c r="E1325" s="28"/>
      <c r="F1325" s="28"/>
      <c r="G1325" s="28"/>
      <c r="H1325" s="28"/>
    </row>
    <row r="1326" spans="4:8" s="25" customFormat="1" ht="11.25" customHeight="1">
      <c r="D1326" s="28"/>
      <c r="E1326" s="28"/>
      <c r="F1326" s="28"/>
      <c r="G1326" s="28"/>
      <c r="H1326" s="28"/>
    </row>
    <row r="1327" spans="4:8" s="25" customFormat="1" ht="11.25" customHeight="1">
      <c r="D1327" s="28"/>
      <c r="E1327" s="28"/>
      <c r="F1327" s="28"/>
      <c r="G1327" s="28"/>
      <c r="H1327" s="28"/>
    </row>
    <row r="1328" spans="4:8" s="25" customFormat="1" ht="11.25" customHeight="1">
      <c r="D1328" s="28"/>
      <c r="E1328" s="28"/>
      <c r="F1328" s="28"/>
      <c r="G1328" s="28"/>
      <c r="H1328" s="28"/>
    </row>
    <row r="1329" spans="4:8" s="25" customFormat="1" ht="11.25" customHeight="1">
      <c r="D1329" s="28"/>
      <c r="E1329" s="28"/>
      <c r="F1329" s="28"/>
      <c r="G1329" s="28"/>
      <c r="H1329" s="28"/>
    </row>
    <row r="1330" spans="4:8" s="25" customFormat="1" ht="11.25" customHeight="1">
      <c r="D1330" s="28"/>
      <c r="E1330" s="28"/>
      <c r="F1330" s="28"/>
      <c r="G1330" s="28"/>
      <c r="H1330" s="28"/>
    </row>
    <row r="1331" spans="4:8" s="25" customFormat="1" ht="11.25" customHeight="1">
      <c r="D1331" s="28"/>
      <c r="E1331" s="28"/>
      <c r="F1331" s="28"/>
      <c r="G1331" s="28"/>
      <c r="H1331" s="28"/>
    </row>
    <row r="1332" spans="4:8" s="25" customFormat="1" ht="11.25" customHeight="1">
      <c r="D1332" s="28"/>
      <c r="E1332" s="28"/>
      <c r="F1332" s="28"/>
      <c r="G1332" s="28"/>
      <c r="H1332" s="28"/>
    </row>
    <row r="1333" spans="4:8" s="25" customFormat="1" ht="11.25" customHeight="1">
      <c r="D1333" s="28"/>
      <c r="E1333" s="28"/>
      <c r="F1333" s="28"/>
      <c r="G1333" s="28"/>
      <c r="H1333" s="28"/>
    </row>
    <row r="1334" spans="4:8" s="25" customFormat="1" ht="11.25" customHeight="1">
      <c r="D1334" s="28"/>
      <c r="E1334" s="28"/>
      <c r="F1334" s="28"/>
      <c r="G1334" s="28"/>
      <c r="H1334" s="28"/>
    </row>
    <row r="1335" spans="4:8" s="25" customFormat="1" ht="11.25" customHeight="1">
      <c r="D1335" s="28"/>
      <c r="E1335" s="28"/>
      <c r="F1335" s="28"/>
      <c r="G1335" s="28"/>
      <c r="H1335" s="28"/>
    </row>
    <row r="1336" spans="4:8" s="25" customFormat="1" ht="11.25" customHeight="1">
      <c r="D1336" s="28"/>
      <c r="E1336" s="28"/>
      <c r="F1336" s="28"/>
      <c r="G1336" s="28"/>
      <c r="H1336" s="28"/>
    </row>
    <row r="1337" spans="4:8" s="25" customFormat="1" ht="11.25" customHeight="1">
      <c r="D1337" s="28"/>
      <c r="E1337" s="28"/>
      <c r="F1337" s="28"/>
      <c r="G1337" s="28"/>
      <c r="H1337" s="28"/>
    </row>
    <row r="1338" spans="4:8" s="25" customFormat="1" ht="11.25" customHeight="1">
      <c r="D1338" s="28"/>
      <c r="E1338" s="28"/>
      <c r="F1338" s="28"/>
      <c r="G1338" s="28"/>
      <c r="H1338" s="28"/>
    </row>
    <row r="1339" spans="4:8" s="25" customFormat="1" ht="11.25" customHeight="1">
      <c r="D1339" s="28"/>
      <c r="E1339" s="28"/>
      <c r="F1339" s="28"/>
      <c r="G1339" s="28"/>
      <c r="H1339" s="28"/>
    </row>
    <row r="1340" spans="4:8" s="25" customFormat="1" ht="11.25" customHeight="1">
      <c r="D1340" s="28"/>
      <c r="E1340" s="28"/>
      <c r="F1340" s="28"/>
      <c r="G1340" s="28"/>
      <c r="H1340" s="28"/>
    </row>
    <row r="1341" spans="4:8" s="25" customFormat="1" ht="11.25" customHeight="1">
      <c r="D1341" s="28"/>
      <c r="E1341" s="28"/>
      <c r="F1341" s="28"/>
      <c r="G1341" s="28"/>
      <c r="H1341" s="28"/>
    </row>
    <row r="1342" spans="4:8" s="25" customFormat="1" ht="11.25" customHeight="1">
      <c r="D1342" s="28"/>
      <c r="E1342" s="28"/>
      <c r="F1342" s="28"/>
      <c r="G1342" s="28"/>
      <c r="H1342" s="28"/>
    </row>
    <row r="1343" spans="4:8" s="25" customFormat="1" ht="11.25" customHeight="1">
      <c r="D1343" s="28"/>
      <c r="E1343" s="28"/>
      <c r="F1343" s="28"/>
      <c r="G1343" s="28"/>
      <c r="H1343" s="28"/>
    </row>
    <row r="1344" spans="4:8" s="25" customFormat="1" ht="11.25" customHeight="1">
      <c r="D1344" s="28"/>
      <c r="E1344" s="28"/>
      <c r="F1344" s="28"/>
      <c r="G1344" s="28"/>
      <c r="H1344" s="28"/>
    </row>
    <row r="1345" spans="4:8" s="25" customFormat="1" ht="11.25" customHeight="1">
      <c r="D1345" s="28"/>
      <c r="E1345" s="28"/>
      <c r="F1345" s="28"/>
      <c r="G1345" s="28"/>
      <c r="H1345" s="28"/>
    </row>
    <row r="1346" spans="4:8" s="25" customFormat="1" ht="11.25" customHeight="1">
      <c r="D1346" s="28"/>
      <c r="E1346" s="28"/>
      <c r="F1346" s="28"/>
      <c r="G1346" s="28"/>
      <c r="H1346" s="28"/>
    </row>
    <row r="1347" spans="4:8" s="25" customFormat="1" ht="11.25" customHeight="1">
      <c r="D1347" s="28"/>
      <c r="E1347" s="28"/>
      <c r="F1347" s="28"/>
      <c r="G1347" s="28"/>
      <c r="H1347" s="28"/>
    </row>
    <row r="1348" spans="4:8" s="25" customFormat="1" ht="11.25" customHeight="1">
      <c r="D1348" s="28"/>
      <c r="E1348" s="28"/>
      <c r="F1348" s="28"/>
      <c r="G1348" s="28"/>
      <c r="H1348" s="28"/>
    </row>
    <row r="1349" spans="4:8" s="25" customFormat="1" ht="11.25" customHeight="1">
      <c r="D1349" s="28"/>
      <c r="E1349" s="28"/>
      <c r="F1349" s="28"/>
      <c r="G1349" s="28"/>
      <c r="H1349" s="28"/>
    </row>
    <row r="1350" spans="4:8" s="25" customFormat="1" ht="11.25" customHeight="1">
      <c r="D1350" s="28"/>
      <c r="E1350" s="28"/>
      <c r="F1350" s="28"/>
      <c r="G1350" s="28"/>
      <c r="H1350" s="28"/>
    </row>
    <row r="1351" spans="4:8" s="25" customFormat="1" ht="11.25" customHeight="1">
      <c r="D1351" s="28"/>
      <c r="E1351" s="28"/>
      <c r="F1351" s="28"/>
      <c r="G1351" s="28"/>
      <c r="H1351" s="28"/>
    </row>
    <row r="1352" spans="4:8" s="25" customFormat="1" ht="11.25" customHeight="1">
      <c r="D1352" s="28"/>
      <c r="E1352" s="28"/>
      <c r="F1352" s="28"/>
      <c r="G1352" s="28"/>
      <c r="H1352" s="28"/>
    </row>
    <row r="1353" spans="4:8" s="25" customFormat="1" ht="11.25" customHeight="1">
      <c r="D1353" s="28"/>
      <c r="E1353" s="28"/>
      <c r="F1353" s="28"/>
      <c r="G1353" s="28"/>
      <c r="H1353" s="28"/>
    </row>
    <row r="1354" spans="4:8" s="25" customFormat="1" ht="11.25" customHeight="1">
      <c r="D1354" s="28"/>
      <c r="E1354" s="28"/>
      <c r="F1354" s="28"/>
      <c r="G1354" s="28"/>
      <c r="H1354" s="28"/>
    </row>
    <row r="1355" spans="4:8" s="25" customFormat="1" ht="11.25" customHeight="1">
      <c r="D1355" s="28"/>
      <c r="E1355" s="28"/>
      <c r="F1355" s="28"/>
      <c r="G1355" s="28"/>
      <c r="H1355" s="28"/>
    </row>
    <row r="1356" spans="4:8" s="25" customFormat="1" ht="11.25" customHeight="1">
      <c r="D1356" s="28"/>
      <c r="E1356" s="28"/>
      <c r="F1356" s="28"/>
      <c r="G1356" s="28"/>
      <c r="H1356" s="28"/>
    </row>
    <row r="1357" spans="4:8" s="25" customFormat="1" ht="11.25" customHeight="1">
      <c r="D1357" s="28"/>
      <c r="E1357" s="28"/>
      <c r="F1357" s="28"/>
      <c r="G1357" s="28"/>
      <c r="H1357" s="28"/>
    </row>
    <row r="1358" spans="4:8" s="25" customFormat="1" ht="11.25" customHeight="1">
      <c r="D1358" s="28"/>
      <c r="E1358" s="28"/>
      <c r="F1358" s="28"/>
      <c r="G1358" s="28"/>
      <c r="H1358" s="28"/>
    </row>
    <row r="1359" spans="4:8" s="25" customFormat="1" ht="11.25" customHeight="1">
      <c r="D1359" s="28"/>
      <c r="E1359" s="28"/>
      <c r="F1359" s="28"/>
      <c r="G1359" s="28"/>
      <c r="H1359" s="28"/>
    </row>
    <row r="1360" spans="4:8" s="25" customFormat="1" ht="11.25" customHeight="1">
      <c r="D1360" s="28"/>
      <c r="E1360" s="28"/>
      <c r="F1360" s="28"/>
      <c r="G1360" s="28"/>
      <c r="H1360" s="28"/>
    </row>
    <row r="1361" spans="4:8" s="25" customFormat="1" ht="11.25" customHeight="1">
      <c r="D1361" s="28"/>
      <c r="E1361" s="28"/>
      <c r="F1361" s="28"/>
      <c r="G1361" s="28"/>
      <c r="H1361" s="28"/>
    </row>
    <row r="1362" spans="4:8" s="25" customFormat="1" ht="11.25" customHeight="1">
      <c r="D1362" s="28"/>
      <c r="E1362" s="28"/>
      <c r="F1362" s="28"/>
      <c r="G1362" s="28"/>
      <c r="H1362" s="28"/>
    </row>
    <row r="1363" spans="4:8" s="25" customFormat="1" ht="11.25" customHeight="1">
      <c r="D1363" s="28"/>
      <c r="E1363" s="28"/>
      <c r="F1363" s="28"/>
      <c r="G1363" s="28"/>
      <c r="H1363" s="28"/>
    </row>
    <row r="1364" spans="4:8" s="25" customFormat="1" ht="11.25" customHeight="1">
      <c r="D1364" s="28"/>
      <c r="E1364" s="28"/>
      <c r="F1364" s="28"/>
      <c r="G1364" s="28"/>
      <c r="H1364" s="28"/>
    </row>
    <row r="1365" spans="4:8" s="25" customFormat="1" ht="11.25" customHeight="1">
      <c r="D1365" s="28"/>
      <c r="E1365" s="28"/>
      <c r="F1365" s="28"/>
      <c r="G1365" s="28"/>
      <c r="H1365" s="28"/>
    </row>
    <row r="1366" spans="4:8" s="25" customFormat="1" ht="11.25" customHeight="1">
      <c r="D1366" s="28"/>
      <c r="E1366" s="28"/>
      <c r="F1366" s="28"/>
      <c r="G1366" s="28"/>
      <c r="H1366" s="28"/>
    </row>
    <row r="1367" spans="4:8" s="25" customFormat="1" ht="11.25" customHeight="1">
      <c r="D1367" s="28"/>
      <c r="E1367" s="28"/>
      <c r="F1367" s="28"/>
      <c r="G1367" s="28"/>
      <c r="H1367" s="28"/>
    </row>
    <row r="1368" spans="4:8" s="25" customFormat="1" ht="11.25" customHeight="1">
      <c r="D1368" s="28"/>
      <c r="E1368" s="28"/>
      <c r="F1368" s="28"/>
      <c r="G1368" s="28"/>
      <c r="H1368" s="28"/>
    </row>
    <row r="1369" spans="4:8" s="25" customFormat="1" ht="11.25" customHeight="1">
      <c r="D1369" s="28"/>
      <c r="E1369" s="28"/>
      <c r="F1369" s="28"/>
      <c r="G1369" s="28"/>
      <c r="H1369" s="28"/>
    </row>
    <row r="1370" spans="4:8" s="25" customFormat="1" ht="11.25" customHeight="1">
      <c r="D1370" s="28"/>
      <c r="E1370" s="28"/>
      <c r="F1370" s="28"/>
      <c r="G1370" s="28"/>
      <c r="H1370" s="28"/>
    </row>
    <row r="1371" spans="4:8" s="25" customFormat="1" ht="11.25" customHeight="1">
      <c r="D1371" s="28"/>
      <c r="E1371" s="28"/>
      <c r="F1371" s="28"/>
      <c r="G1371" s="28"/>
      <c r="H1371" s="28"/>
    </row>
    <row r="1372" spans="4:8" s="25" customFormat="1" ht="11.25" customHeight="1">
      <c r="D1372" s="28"/>
      <c r="E1372" s="28"/>
      <c r="F1372" s="28"/>
      <c r="G1372" s="28"/>
      <c r="H1372" s="28"/>
    </row>
    <row r="1373" spans="4:8" s="25" customFormat="1" ht="11.25" customHeight="1">
      <c r="D1373" s="28"/>
      <c r="E1373" s="28"/>
      <c r="F1373" s="28"/>
      <c r="G1373" s="28"/>
      <c r="H1373" s="28"/>
    </row>
    <row r="1374" spans="4:8" s="25" customFormat="1" ht="11.25" customHeight="1">
      <c r="D1374" s="28"/>
      <c r="E1374" s="28"/>
      <c r="F1374" s="28"/>
      <c r="G1374" s="28"/>
      <c r="H1374" s="28"/>
    </row>
    <row r="1375" spans="4:8" s="25" customFormat="1" ht="11.25" customHeight="1">
      <c r="D1375" s="28"/>
      <c r="E1375" s="28"/>
      <c r="F1375" s="28"/>
      <c r="G1375" s="28"/>
      <c r="H1375" s="28"/>
    </row>
    <row r="1376" spans="4:8" s="25" customFormat="1" ht="11.25" customHeight="1">
      <c r="D1376" s="28"/>
      <c r="E1376" s="28"/>
      <c r="F1376" s="28"/>
      <c r="G1376" s="28"/>
      <c r="H1376" s="28"/>
    </row>
    <row r="1377" spans="4:8" s="25" customFormat="1" ht="11.25" customHeight="1">
      <c r="D1377" s="28"/>
      <c r="E1377" s="28"/>
      <c r="F1377" s="28"/>
      <c r="G1377" s="28"/>
      <c r="H1377" s="28"/>
    </row>
    <row r="1378" spans="4:8" s="25" customFormat="1" ht="11.25" customHeight="1">
      <c r="D1378" s="28"/>
      <c r="E1378" s="28"/>
      <c r="F1378" s="28"/>
      <c r="G1378" s="28"/>
      <c r="H1378" s="28"/>
    </row>
    <row r="1379" spans="4:8" s="25" customFormat="1" ht="11.25" customHeight="1">
      <c r="D1379" s="28"/>
      <c r="E1379" s="28"/>
      <c r="F1379" s="28"/>
      <c r="G1379" s="28"/>
      <c r="H1379" s="28"/>
    </row>
    <row r="1380" spans="4:8" s="25" customFormat="1" ht="11.25" customHeight="1">
      <c r="D1380" s="28"/>
      <c r="E1380" s="28"/>
      <c r="F1380" s="28"/>
      <c r="G1380" s="28"/>
      <c r="H1380" s="28"/>
    </row>
    <row r="1381" spans="4:8" s="25" customFormat="1" ht="11.25" customHeight="1">
      <c r="D1381" s="28"/>
      <c r="E1381" s="28"/>
      <c r="F1381" s="28"/>
      <c r="G1381" s="28"/>
      <c r="H1381" s="28"/>
    </row>
    <row r="1382" spans="4:8" s="25" customFormat="1" ht="11.25" customHeight="1">
      <c r="D1382" s="28"/>
      <c r="E1382" s="28"/>
      <c r="F1382" s="28"/>
      <c r="G1382" s="28"/>
      <c r="H1382" s="28"/>
    </row>
    <row r="1383" spans="4:8" s="25" customFormat="1" ht="11.25" customHeight="1">
      <c r="D1383" s="28"/>
      <c r="E1383" s="28"/>
      <c r="F1383" s="28"/>
      <c r="G1383" s="28"/>
      <c r="H1383" s="28"/>
    </row>
    <row r="1384" spans="4:8" s="25" customFormat="1" ht="11.25" customHeight="1">
      <c r="D1384" s="28"/>
      <c r="E1384" s="28"/>
      <c r="F1384" s="28"/>
      <c r="G1384" s="28"/>
      <c r="H1384" s="28"/>
    </row>
    <row r="1385" spans="4:8" s="25" customFormat="1" ht="11.25" customHeight="1">
      <c r="D1385" s="28"/>
      <c r="E1385" s="28"/>
      <c r="F1385" s="28"/>
      <c r="G1385" s="28"/>
      <c r="H1385" s="28"/>
    </row>
    <row r="1386" spans="4:8" s="25" customFormat="1" ht="11.25" customHeight="1">
      <c r="D1386" s="28"/>
      <c r="E1386" s="28"/>
      <c r="F1386" s="28"/>
      <c r="G1386" s="28"/>
      <c r="H1386" s="28"/>
    </row>
    <row r="1387" spans="4:8" s="25" customFormat="1" ht="11.25" customHeight="1">
      <c r="D1387" s="28"/>
      <c r="E1387" s="28"/>
      <c r="F1387" s="28"/>
      <c r="G1387" s="28"/>
      <c r="H1387" s="28"/>
    </row>
    <row r="1388" spans="4:8" s="25" customFormat="1" ht="11.25" customHeight="1">
      <c r="D1388" s="28"/>
      <c r="E1388" s="28"/>
      <c r="F1388" s="28"/>
      <c r="G1388" s="28"/>
      <c r="H1388" s="28"/>
    </row>
    <row r="1389" spans="4:8" s="25" customFormat="1" ht="11.25" customHeight="1">
      <c r="D1389" s="28"/>
      <c r="E1389" s="28"/>
      <c r="F1389" s="28"/>
      <c r="G1389" s="28"/>
      <c r="H1389" s="28"/>
    </row>
    <row r="1390" spans="4:8" s="25" customFormat="1" ht="11.25" customHeight="1">
      <c r="D1390" s="28"/>
      <c r="E1390" s="28"/>
      <c r="F1390" s="28"/>
      <c r="G1390" s="28"/>
      <c r="H1390" s="28"/>
    </row>
    <row r="1391" spans="4:8" s="25" customFormat="1" ht="11.25" customHeight="1">
      <c r="D1391" s="28"/>
      <c r="E1391" s="28"/>
      <c r="F1391" s="28"/>
      <c r="G1391" s="28"/>
      <c r="H1391" s="28"/>
    </row>
    <row r="1392" spans="4:8" s="25" customFormat="1" ht="11.25" customHeight="1">
      <c r="D1392" s="28"/>
      <c r="E1392" s="28"/>
      <c r="F1392" s="28"/>
      <c r="G1392" s="28"/>
      <c r="H1392" s="28"/>
    </row>
    <row r="1393" spans="4:8" s="25" customFormat="1" ht="11.25" customHeight="1">
      <c r="D1393" s="28"/>
      <c r="E1393" s="28"/>
      <c r="F1393" s="28"/>
      <c r="G1393" s="28"/>
      <c r="H1393" s="28"/>
    </row>
    <row r="1394" spans="4:8" s="25" customFormat="1" ht="11.25" customHeight="1">
      <c r="D1394" s="28"/>
      <c r="E1394" s="28"/>
      <c r="F1394" s="28"/>
      <c r="G1394" s="28"/>
      <c r="H1394" s="28"/>
    </row>
    <row r="1395" spans="4:8" s="25" customFormat="1" ht="11.25" customHeight="1">
      <c r="D1395" s="28"/>
      <c r="E1395" s="28"/>
      <c r="F1395" s="28"/>
      <c r="G1395" s="28"/>
      <c r="H1395" s="28"/>
    </row>
    <row r="1396" spans="4:8" s="25" customFormat="1" ht="11.25" customHeight="1">
      <c r="D1396" s="28"/>
      <c r="E1396" s="28"/>
      <c r="F1396" s="28"/>
      <c r="G1396" s="28"/>
      <c r="H1396" s="28"/>
    </row>
    <row r="1397" spans="4:8" s="25" customFormat="1" ht="11.25" customHeight="1">
      <c r="D1397" s="28"/>
      <c r="E1397" s="28"/>
      <c r="F1397" s="28"/>
      <c r="G1397" s="28"/>
      <c r="H1397" s="28"/>
    </row>
    <row r="1398" spans="4:8" s="25" customFormat="1" ht="11.25" customHeight="1">
      <c r="D1398" s="28"/>
      <c r="E1398" s="28"/>
      <c r="F1398" s="28"/>
      <c r="G1398" s="28"/>
      <c r="H1398" s="28"/>
    </row>
    <row r="1399" spans="4:8" s="25" customFormat="1" ht="11.25" customHeight="1">
      <c r="D1399" s="28"/>
      <c r="E1399" s="28"/>
      <c r="F1399" s="28"/>
      <c r="G1399" s="28"/>
      <c r="H1399" s="28"/>
    </row>
    <row r="1400" spans="4:8" s="25" customFormat="1" ht="11.25" customHeight="1">
      <c r="D1400" s="28"/>
      <c r="E1400" s="28"/>
      <c r="F1400" s="28"/>
      <c r="G1400" s="28"/>
      <c r="H1400" s="28"/>
    </row>
    <row r="1401" spans="4:8" s="25" customFormat="1" ht="11.25" customHeight="1">
      <c r="D1401" s="28"/>
      <c r="E1401" s="28"/>
      <c r="F1401" s="28"/>
      <c r="G1401" s="28"/>
      <c r="H1401" s="28"/>
    </row>
    <row r="1402" spans="4:8" s="25" customFormat="1" ht="11.25" customHeight="1">
      <c r="D1402" s="28"/>
      <c r="E1402" s="28"/>
      <c r="F1402" s="28"/>
      <c r="G1402" s="28"/>
      <c r="H1402" s="28"/>
    </row>
    <row r="1403" spans="4:8" s="25" customFormat="1" ht="11.25" customHeight="1">
      <c r="D1403" s="28"/>
      <c r="E1403" s="28"/>
      <c r="F1403" s="28"/>
      <c r="G1403" s="28"/>
      <c r="H1403" s="28"/>
    </row>
    <row r="1404" spans="4:8" s="25" customFormat="1" ht="11.25" customHeight="1">
      <c r="D1404" s="28"/>
      <c r="E1404" s="28"/>
      <c r="F1404" s="28"/>
      <c r="G1404" s="28"/>
      <c r="H1404" s="28"/>
    </row>
    <row r="1405" spans="4:8" s="25" customFormat="1" ht="11.25" customHeight="1">
      <c r="D1405" s="28"/>
      <c r="E1405" s="28"/>
      <c r="F1405" s="28"/>
      <c r="G1405" s="28"/>
      <c r="H1405" s="28"/>
    </row>
    <row r="1406" spans="4:8" s="25" customFormat="1" ht="11.25" customHeight="1">
      <c r="D1406" s="28"/>
      <c r="E1406" s="28"/>
      <c r="F1406" s="28"/>
      <c r="G1406" s="28"/>
      <c r="H1406" s="28"/>
    </row>
    <row r="1407" spans="4:8" s="25" customFormat="1" ht="11.25" customHeight="1">
      <c r="D1407" s="28"/>
      <c r="E1407" s="28"/>
      <c r="F1407" s="28"/>
      <c r="G1407" s="28"/>
      <c r="H1407" s="28"/>
    </row>
    <row r="1408" spans="4:8" s="25" customFormat="1" ht="11.25" customHeight="1">
      <c r="D1408" s="28"/>
      <c r="E1408" s="28"/>
      <c r="F1408" s="28"/>
      <c r="G1408" s="28"/>
      <c r="H1408" s="28"/>
    </row>
    <row r="1409" spans="4:8" s="25" customFormat="1" ht="11.25" customHeight="1">
      <c r="D1409" s="28"/>
      <c r="E1409" s="28"/>
      <c r="F1409" s="28"/>
      <c r="G1409" s="28"/>
      <c r="H1409" s="28"/>
    </row>
    <row r="1410" spans="4:8" s="25" customFormat="1" ht="11.25" customHeight="1">
      <c r="D1410" s="28"/>
      <c r="E1410" s="28"/>
      <c r="F1410" s="28"/>
      <c r="G1410" s="28"/>
      <c r="H1410" s="28"/>
    </row>
    <row r="1411" spans="4:8" s="25" customFormat="1" ht="11.25" customHeight="1">
      <c r="D1411" s="28"/>
      <c r="E1411" s="28"/>
      <c r="F1411" s="28"/>
      <c r="G1411" s="28"/>
      <c r="H1411" s="28"/>
    </row>
    <row r="1412" spans="4:8" s="25" customFormat="1" ht="11.25" customHeight="1">
      <c r="D1412" s="28"/>
      <c r="E1412" s="28"/>
      <c r="F1412" s="28"/>
      <c r="G1412" s="28"/>
      <c r="H1412" s="28"/>
    </row>
    <row r="1413" spans="4:8" s="25" customFormat="1" ht="11.25" customHeight="1">
      <c r="D1413" s="28"/>
      <c r="E1413" s="28"/>
      <c r="F1413" s="28"/>
      <c r="G1413" s="28"/>
      <c r="H1413" s="28"/>
    </row>
    <row r="1414" spans="4:8" s="25" customFormat="1" ht="11.25" customHeight="1">
      <c r="D1414" s="28"/>
      <c r="E1414" s="28"/>
      <c r="F1414" s="28"/>
      <c r="G1414" s="28"/>
      <c r="H1414" s="28"/>
    </row>
    <row r="1415" spans="4:8" s="25" customFormat="1" ht="11.25" customHeight="1">
      <c r="D1415" s="28"/>
      <c r="E1415" s="28"/>
      <c r="F1415" s="28"/>
      <c r="G1415" s="28"/>
      <c r="H1415" s="28"/>
    </row>
    <row r="1416" spans="4:8" s="25" customFormat="1" ht="11.25" customHeight="1">
      <c r="D1416" s="28"/>
      <c r="E1416" s="28"/>
      <c r="F1416" s="28"/>
      <c r="G1416" s="28"/>
      <c r="H1416" s="28"/>
    </row>
    <row r="1417" spans="4:8" s="25" customFormat="1" ht="11.25" customHeight="1">
      <c r="D1417" s="28"/>
      <c r="E1417" s="28"/>
      <c r="F1417" s="28"/>
      <c r="G1417" s="28"/>
      <c r="H1417" s="28"/>
    </row>
    <row r="1418" spans="4:8" s="25" customFormat="1" ht="11.25" customHeight="1">
      <c r="D1418" s="28"/>
      <c r="E1418" s="28"/>
      <c r="F1418" s="28"/>
      <c r="G1418" s="28"/>
      <c r="H1418" s="28"/>
    </row>
    <row r="1419" spans="4:8" s="25" customFormat="1" ht="11.25" customHeight="1">
      <c r="D1419" s="28"/>
      <c r="E1419" s="28"/>
      <c r="F1419" s="28"/>
      <c r="G1419" s="28"/>
      <c r="H1419" s="28"/>
    </row>
    <row r="1420" spans="4:8" s="25" customFormat="1" ht="11.25" customHeight="1">
      <c r="D1420" s="28"/>
      <c r="E1420" s="28"/>
      <c r="F1420" s="28"/>
      <c r="G1420" s="28"/>
      <c r="H1420" s="28"/>
    </row>
    <row r="1421" spans="4:8" s="25" customFormat="1" ht="11.25" customHeight="1">
      <c r="D1421" s="28"/>
      <c r="E1421" s="28"/>
      <c r="F1421" s="28"/>
      <c r="G1421" s="28"/>
      <c r="H1421" s="28"/>
    </row>
    <row r="1422" spans="4:8" s="25" customFormat="1" ht="11.25" customHeight="1">
      <c r="D1422" s="28"/>
      <c r="E1422" s="28"/>
      <c r="F1422" s="28"/>
      <c r="G1422" s="28"/>
      <c r="H1422" s="28"/>
    </row>
    <row r="1423" spans="4:8" s="25" customFormat="1" ht="11.25" customHeight="1">
      <c r="D1423" s="28"/>
      <c r="E1423" s="28"/>
      <c r="F1423" s="28"/>
      <c r="G1423" s="28"/>
      <c r="H1423" s="28"/>
    </row>
    <row r="1424" spans="4:8" s="25" customFormat="1" ht="11.25" customHeight="1">
      <c r="D1424" s="28"/>
      <c r="E1424" s="28"/>
      <c r="F1424" s="28"/>
      <c r="G1424" s="28"/>
      <c r="H1424" s="28"/>
    </row>
    <row r="1425" spans="4:8" s="25" customFormat="1" ht="11.25" customHeight="1">
      <c r="D1425" s="28"/>
      <c r="E1425" s="28"/>
      <c r="F1425" s="28"/>
      <c r="G1425" s="28"/>
      <c r="H1425" s="28"/>
    </row>
    <row r="1426" spans="4:8" s="25" customFormat="1" ht="11.25" customHeight="1">
      <c r="D1426" s="28"/>
      <c r="E1426" s="28"/>
      <c r="F1426" s="28"/>
      <c r="G1426" s="28"/>
      <c r="H1426" s="28"/>
    </row>
    <row r="1427" spans="4:8" s="25" customFormat="1" ht="11.25" customHeight="1">
      <c r="D1427" s="28"/>
      <c r="E1427" s="28"/>
      <c r="F1427" s="28"/>
      <c r="G1427" s="28"/>
      <c r="H1427" s="28"/>
    </row>
    <row r="1428" spans="4:8" s="25" customFormat="1" ht="11.25" customHeight="1">
      <c r="D1428" s="28"/>
      <c r="E1428" s="28"/>
      <c r="F1428" s="28"/>
      <c r="G1428" s="28"/>
      <c r="H1428" s="28"/>
    </row>
    <row r="1429" spans="4:8" s="25" customFormat="1" ht="11.25" customHeight="1">
      <c r="D1429" s="28"/>
      <c r="E1429" s="28"/>
      <c r="F1429" s="28"/>
      <c r="G1429" s="28"/>
      <c r="H1429" s="28"/>
    </row>
    <row r="1430" spans="4:8" s="25" customFormat="1" ht="11.25" customHeight="1">
      <c r="D1430" s="28"/>
      <c r="E1430" s="28"/>
      <c r="F1430" s="28"/>
      <c r="G1430" s="28"/>
      <c r="H1430" s="28"/>
    </row>
    <row r="1431" spans="4:8" s="25" customFormat="1" ht="11.25" customHeight="1">
      <c r="D1431" s="28"/>
      <c r="E1431" s="28"/>
      <c r="F1431" s="28"/>
      <c r="G1431" s="28"/>
      <c r="H1431" s="28"/>
    </row>
    <row r="1432" spans="4:8" s="25" customFormat="1" ht="11.25" customHeight="1">
      <c r="D1432" s="28"/>
      <c r="E1432" s="28"/>
      <c r="F1432" s="28"/>
      <c r="G1432" s="28"/>
      <c r="H1432" s="28"/>
    </row>
    <row r="1433" spans="4:8" s="25" customFormat="1" ht="11.25" customHeight="1">
      <c r="D1433" s="28"/>
      <c r="E1433" s="28"/>
      <c r="F1433" s="28"/>
      <c r="G1433" s="28"/>
      <c r="H1433" s="28"/>
    </row>
    <row r="1434" spans="4:8" s="25" customFormat="1" ht="11.25" customHeight="1">
      <c r="D1434" s="28"/>
      <c r="E1434" s="28"/>
      <c r="F1434" s="28"/>
      <c r="G1434" s="28"/>
      <c r="H1434" s="28"/>
    </row>
    <row r="1435" spans="4:8" s="25" customFormat="1" ht="11.25" customHeight="1">
      <c r="D1435" s="28"/>
      <c r="E1435" s="28"/>
      <c r="F1435" s="28"/>
      <c r="G1435" s="28"/>
      <c r="H1435" s="28"/>
    </row>
    <row r="1436" spans="4:8" s="25" customFormat="1" ht="11.25" customHeight="1">
      <c r="D1436" s="28"/>
      <c r="E1436" s="28"/>
      <c r="F1436" s="28"/>
      <c r="G1436" s="28"/>
      <c r="H1436" s="28"/>
    </row>
    <row r="1437" spans="4:8" s="25" customFormat="1" ht="11.25" customHeight="1">
      <c r="D1437" s="28"/>
      <c r="E1437" s="28"/>
      <c r="F1437" s="28"/>
      <c r="G1437" s="28"/>
      <c r="H1437" s="28"/>
    </row>
    <row r="1438" spans="4:8" s="25" customFormat="1" ht="11.25" customHeight="1">
      <c r="D1438" s="28"/>
      <c r="E1438" s="28"/>
      <c r="F1438" s="28"/>
      <c r="G1438" s="28"/>
      <c r="H1438" s="28"/>
    </row>
    <row r="1439" spans="4:8" s="25" customFormat="1" ht="11.25" customHeight="1">
      <c r="D1439" s="28"/>
      <c r="E1439" s="28"/>
      <c r="F1439" s="28"/>
      <c r="G1439" s="28"/>
      <c r="H1439" s="28"/>
    </row>
    <row r="1440" spans="4:8" s="25" customFormat="1" ht="11.25" customHeight="1">
      <c r="D1440" s="28"/>
      <c r="E1440" s="28"/>
      <c r="F1440" s="28"/>
      <c r="G1440" s="28"/>
      <c r="H1440" s="28"/>
    </row>
    <row r="1441" spans="4:8" s="25" customFormat="1" ht="11.25" customHeight="1">
      <c r="D1441" s="28"/>
      <c r="E1441" s="28"/>
      <c r="F1441" s="28"/>
      <c r="G1441" s="28"/>
      <c r="H1441" s="28"/>
    </row>
    <row r="1442" spans="4:8" s="25" customFormat="1" ht="11.25" customHeight="1">
      <c r="D1442" s="28"/>
      <c r="E1442" s="28"/>
      <c r="F1442" s="28"/>
      <c r="G1442" s="28"/>
      <c r="H1442" s="28"/>
    </row>
    <row r="1443" spans="4:8" s="25" customFormat="1" ht="11.25" customHeight="1">
      <c r="D1443" s="28"/>
      <c r="E1443" s="28"/>
      <c r="F1443" s="28"/>
      <c r="G1443" s="28"/>
      <c r="H1443" s="28"/>
    </row>
    <row r="1444" spans="4:8" s="25" customFormat="1" ht="11.25" customHeight="1">
      <c r="D1444" s="28"/>
      <c r="E1444" s="28"/>
      <c r="F1444" s="28"/>
      <c r="G1444" s="28"/>
      <c r="H1444" s="28"/>
    </row>
    <row r="1445" spans="4:8" s="25" customFormat="1" ht="11.25" customHeight="1">
      <c r="D1445" s="28"/>
      <c r="E1445" s="28"/>
      <c r="F1445" s="28"/>
      <c r="G1445" s="28"/>
      <c r="H1445" s="28"/>
    </row>
    <row r="1446" spans="4:8" s="25" customFormat="1" ht="11.25" customHeight="1">
      <c r="D1446" s="28"/>
      <c r="E1446" s="28"/>
      <c r="F1446" s="28"/>
      <c r="G1446" s="28"/>
      <c r="H1446" s="28"/>
    </row>
    <row r="1447" spans="4:8" s="25" customFormat="1" ht="11.25" customHeight="1">
      <c r="D1447" s="28"/>
      <c r="E1447" s="28"/>
      <c r="F1447" s="28"/>
      <c r="G1447" s="28"/>
      <c r="H1447" s="28"/>
    </row>
    <row r="1448" spans="4:8" s="25" customFormat="1" ht="11.25" customHeight="1">
      <c r="D1448" s="28"/>
      <c r="E1448" s="28"/>
      <c r="F1448" s="28"/>
      <c r="G1448" s="28"/>
      <c r="H1448" s="28"/>
    </row>
    <row r="1449" spans="4:8" s="25" customFormat="1" ht="11.25" customHeight="1">
      <c r="D1449" s="28"/>
      <c r="E1449" s="28"/>
      <c r="F1449" s="28"/>
      <c r="G1449" s="28"/>
      <c r="H1449" s="28"/>
    </row>
    <row r="1450" spans="4:8" s="25" customFormat="1" ht="11.25" customHeight="1">
      <c r="D1450" s="28"/>
      <c r="E1450" s="28"/>
      <c r="F1450" s="28"/>
      <c r="G1450" s="28"/>
      <c r="H1450" s="28"/>
    </row>
    <row r="1451" spans="4:8" s="25" customFormat="1" ht="11.25" customHeight="1">
      <c r="D1451" s="28"/>
      <c r="E1451" s="28"/>
      <c r="F1451" s="28"/>
      <c r="G1451" s="28"/>
      <c r="H1451" s="28"/>
    </row>
    <row r="1452" spans="4:8" s="25" customFormat="1" ht="11.25" customHeight="1">
      <c r="D1452" s="28"/>
      <c r="E1452" s="28"/>
      <c r="F1452" s="28"/>
      <c r="G1452" s="28"/>
      <c r="H1452" s="28"/>
    </row>
    <row r="1453" spans="4:8" s="25" customFormat="1" ht="11.25" customHeight="1">
      <c r="D1453" s="28"/>
      <c r="E1453" s="28"/>
      <c r="F1453" s="28"/>
      <c r="G1453" s="28"/>
      <c r="H1453" s="28"/>
    </row>
    <row r="1454" spans="4:8" s="25" customFormat="1" ht="11.25" customHeight="1">
      <c r="D1454" s="28"/>
      <c r="E1454" s="28"/>
      <c r="F1454" s="28"/>
      <c r="G1454" s="28"/>
      <c r="H1454" s="28"/>
    </row>
    <row r="1455" spans="4:8" s="25" customFormat="1" ht="11.25" customHeight="1">
      <c r="D1455" s="28"/>
      <c r="E1455" s="28"/>
      <c r="F1455" s="28"/>
      <c r="G1455" s="28"/>
      <c r="H1455" s="28"/>
    </row>
    <row r="1456" spans="4:8" s="25" customFormat="1" ht="11.25" customHeight="1">
      <c r="D1456" s="28"/>
      <c r="E1456" s="28"/>
      <c r="F1456" s="28"/>
      <c r="G1456" s="28"/>
      <c r="H1456" s="28"/>
    </row>
    <row r="1457" spans="4:8" s="25" customFormat="1" ht="11.25" customHeight="1">
      <c r="D1457" s="28"/>
      <c r="E1457" s="28"/>
      <c r="F1457" s="28"/>
      <c r="G1457" s="28"/>
      <c r="H1457" s="28"/>
    </row>
    <row r="1458" spans="4:8" s="25" customFormat="1" ht="11.25" customHeight="1">
      <c r="D1458" s="28"/>
      <c r="E1458" s="28"/>
      <c r="F1458" s="28"/>
      <c r="G1458" s="28"/>
      <c r="H1458" s="28"/>
    </row>
    <row r="1459" spans="4:8" s="25" customFormat="1" ht="11.25" customHeight="1">
      <c r="D1459" s="28"/>
      <c r="E1459" s="28"/>
      <c r="F1459" s="28"/>
      <c r="G1459" s="28"/>
      <c r="H1459" s="28"/>
    </row>
    <row r="1460" spans="4:8" s="25" customFormat="1" ht="11.25" customHeight="1">
      <c r="D1460" s="28"/>
      <c r="E1460" s="28"/>
      <c r="F1460" s="28"/>
      <c r="G1460" s="28"/>
      <c r="H1460" s="28"/>
    </row>
    <row r="1461" spans="4:8" s="25" customFormat="1" ht="11.25" customHeight="1">
      <c r="D1461" s="28"/>
      <c r="E1461" s="28"/>
      <c r="F1461" s="28"/>
      <c r="G1461" s="28"/>
      <c r="H1461" s="28"/>
    </row>
    <row r="1462" spans="4:8" s="25" customFormat="1" ht="11.25" customHeight="1">
      <c r="D1462" s="28"/>
      <c r="E1462" s="28"/>
      <c r="F1462" s="28"/>
      <c r="G1462" s="28"/>
      <c r="H1462" s="28"/>
    </row>
    <row r="1463" spans="4:8" s="25" customFormat="1" ht="11.25" customHeight="1">
      <c r="D1463" s="28"/>
      <c r="E1463" s="28"/>
      <c r="F1463" s="28"/>
      <c r="G1463" s="28"/>
      <c r="H1463" s="28"/>
    </row>
    <row r="1464" spans="4:8" s="25" customFormat="1" ht="11.25" customHeight="1">
      <c r="D1464" s="28"/>
      <c r="E1464" s="28"/>
      <c r="F1464" s="28"/>
      <c r="G1464" s="28"/>
      <c r="H1464" s="28"/>
    </row>
    <row r="1465" spans="4:8" s="25" customFormat="1" ht="11.25" customHeight="1">
      <c r="D1465" s="28"/>
      <c r="E1465" s="28"/>
      <c r="F1465" s="28"/>
      <c r="G1465" s="28"/>
      <c r="H1465" s="28"/>
    </row>
    <row r="1466" spans="4:8" s="25" customFormat="1" ht="11.25" customHeight="1">
      <c r="D1466" s="28"/>
      <c r="E1466" s="28"/>
      <c r="F1466" s="28"/>
      <c r="G1466" s="28"/>
      <c r="H1466" s="28"/>
    </row>
    <row r="1467" spans="4:8" s="25" customFormat="1" ht="11.25" customHeight="1">
      <c r="D1467" s="28"/>
      <c r="E1467" s="28"/>
      <c r="F1467" s="28"/>
      <c r="G1467" s="28"/>
      <c r="H1467" s="28"/>
    </row>
    <row r="1468" spans="4:8" s="25" customFormat="1" ht="11.25" customHeight="1">
      <c r="D1468" s="28"/>
      <c r="E1468" s="28"/>
      <c r="F1468" s="28"/>
      <c r="G1468" s="28"/>
      <c r="H1468" s="28"/>
    </row>
    <row r="1469" spans="4:8" s="25" customFormat="1" ht="11.25" customHeight="1">
      <c r="D1469" s="28"/>
      <c r="E1469" s="28"/>
      <c r="F1469" s="28"/>
      <c r="G1469" s="28"/>
      <c r="H1469" s="28"/>
    </row>
    <row r="1470" spans="4:8" s="25" customFormat="1" ht="11.25" customHeight="1">
      <c r="D1470" s="28"/>
      <c r="E1470" s="28"/>
      <c r="F1470" s="28"/>
      <c r="G1470" s="28"/>
      <c r="H1470" s="28"/>
    </row>
    <row r="1471" spans="4:8" s="25" customFormat="1" ht="11.25" customHeight="1">
      <c r="D1471" s="28"/>
      <c r="E1471" s="28"/>
      <c r="F1471" s="28"/>
      <c r="G1471" s="28"/>
      <c r="H1471" s="28"/>
    </row>
    <row r="1472" spans="4:8" s="25" customFormat="1" ht="11.25" customHeight="1">
      <c r="D1472" s="28"/>
      <c r="E1472" s="28"/>
      <c r="F1472" s="28"/>
      <c r="G1472" s="28"/>
      <c r="H1472" s="28"/>
    </row>
    <row r="1473" spans="4:8" s="25" customFormat="1" ht="11.25" customHeight="1">
      <c r="D1473" s="28"/>
      <c r="E1473" s="28"/>
      <c r="F1473" s="28"/>
      <c r="G1473" s="28"/>
      <c r="H1473" s="28"/>
    </row>
    <row r="1474" spans="4:8" s="25" customFormat="1" ht="11.25" customHeight="1">
      <c r="D1474" s="28"/>
      <c r="E1474" s="28"/>
      <c r="F1474" s="28"/>
      <c r="G1474" s="28"/>
      <c r="H1474" s="28"/>
    </row>
    <row r="1475" spans="4:8" s="25" customFormat="1" ht="11.25" customHeight="1">
      <c r="D1475" s="28"/>
      <c r="E1475" s="28"/>
      <c r="F1475" s="28"/>
      <c r="G1475" s="28"/>
      <c r="H1475" s="28"/>
    </row>
    <row r="1476" spans="4:8" s="25" customFormat="1" ht="11.25" customHeight="1">
      <c r="D1476" s="28"/>
      <c r="E1476" s="28"/>
      <c r="F1476" s="28"/>
      <c r="G1476" s="28"/>
      <c r="H1476" s="28"/>
    </row>
    <row r="1477" spans="4:8" s="25" customFormat="1" ht="11.25" customHeight="1">
      <c r="D1477" s="28"/>
      <c r="E1477" s="28"/>
      <c r="F1477" s="28"/>
      <c r="G1477" s="28"/>
      <c r="H1477" s="28"/>
    </row>
    <row r="1478" spans="4:8" s="25" customFormat="1" ht="11.25" customHeight="1">
      <c r="D1478" s="28"/>
      <c r="E1478" s="28"/>
      <c r="F1478" s="28"/>
      <c r="G1478" s="28"/>
      <c r="H1478" s="28"/>
    </row>
    <row r="1479" spans="4:8" s="25" customFormat="1" ht="11.25" customHeight="1">
      <c r="D1479" s="28"/>
      <c r="E1479" s="28"/>
      <c r="F1479" s="28"/>
      <c r="G1479" s="28"/>
      <c r="H1479" s="28"/>
    </row>
    <row r="1480" spans="4:8" s="25" customFormat="1" ht="11.25" customHeight="1">
      <c r="D1480" s="28"/>
      <c r="E1480" s="28"/>
      <c r="F1480" s="28"/>
      <c r="G1480" s="28"/>
      <c r="H1480" s="28"/>
    </row>
    <row r="1481" spans="4:8" s="25" customFormat="1" ht="11.25" customHeight="1">
      <c r="D1481" s="28"/>
      <c r="E1481" s="28"/>
      <c r="F1481" s="28"/>
      <c r="G1481" s="28"/>
      <c r="H1481" s="28"/>
    </row>
    <row r="1482" spans="4:8" s="25" customFormat="1" ht="11.25" customHeight="1">
      <c r="D1482" s="28"/>
      <c r="E1482" s="28"/>
      <c r="F1482" s="28"/>
      <c r="G1482" s="28"/>
      <c r="H1482" s="28"/>
    </row>
    <row r="1483" spans="4:8" s="25" customFormat="1" ht="11.25" customHeight="1">
      <c r="D1483" s="28"/>
      <c r="E1483" s="28"/>
      <c r="F1483" s="28"/>
      <c r="G1483" s="28"/>
      <c r="H1483" s="28"/>
    </row>
    <row r="1484" spans="4:8" s="25" customFormat="1" ht="11.25" customHeight="1">
      <c r="D1484" s="28"/>
      <c r="E1484" s="28"/>
      <c r="F1484" s="28"/>
      <c r="G1484" s="28"/>
      <c r="H1484" s="28"/>
    </row>
    <row r="1485" spans="4:8" s="25" customFormat="1" ht="11.25" customHeight="1">
      <c r="D1485" s="28"/>
      <c r="E1485" s="28"/>
      <c r="F1485" s="28"/>
      <c r="G1485" s="28"/>
      <c r="H1485" s="28"/>
    </row>
    <row r="1486" spans="4:8" s="25" customFormat="1" ht="11.25" customHeight="1">
      <c r="D1486" s="28"/>
      <c r="E1486" s="28"/>
      <c r="F1486" s="28"/>
      <c r="G1486" s="28"/>
      <c r="H1486" s="28"/>
    </row>
    <row r="1487" spans="4:8" s="25" customFormat="1" ht="11.25" customHeight="1">
      <c r="D1487" s="28"/>
      <c r="E1487" s="28"/>
      <c r="F1487" s="28"/>
      <c r="G1487" s="28"/>
      <c r="H1487" s="28"/>
    </row>
    <row r="1488" spans="4:8" s="25" customFormat="1" ht="11.25" customHeight="1">
      <c r="D1488" s="28"/>
      <c r="E1488" s="28"/>
      <c r="F1488" s="28"/>
      <c r="G1488" s="28"/>
      <c r="H1488" s="28"/>
    </row>
    <row r="1489" spans="4:8" s="25" customFormat="1" ht="11.25" customHeight="1">
      <c r="D1489" s="28"/>
      <c r="E1489" s="28"/>
      <c r="F1489" s="28"/>
      <c r="G1489" s="28"/>
      <c r="H1489" s="28"/>
    </row>
    <row r="1490" spans="4:8" s="25" customFormat="1" ht="11.25" customHeight="1">
      <c r="D1490" s="28"/>
      <c r="E1490" s="28"/>
      <c r="F1490" s="28"/>
      <c r="G1490" s="28"/>
      <c r="H1490" s="28"/>
    </row>
    <row r="1491" spans="4:8" s="25" customFormat="1" ht="11.25" customHeight="1">
      <c r="D1491" s="28"/>
      <c r="E1491" s="28"/>
      <c r="F1491" s="28"/>
      <c r="G1491" s="28"/>
      <c r="H1491" s="28"/>
    </row>
    <row r="1492" spans="4:8" s="25" customFormat="1" ht="11.25" customHeight="1">
      <c r="D1492" s="28"/>
      <c r="E1492" s="28"/>
      <c r="F1492" s="28"/>
      <c r="G1492" s="28"/>
      <c r="H1492" s="28"/>
    </row>
    <row r="1493" spans="4:8" s="25" customFormat="1" ht="11.25" customHeight="1">
      <c r="D1493" s="28"/>
      <c r="E1493" s="28"/>
      <c r="F1493" s="28"/>
      <c r="G1493" s="28"/>
      <c r="H1493" s="28"/>
    </row>
    <row r="1494" spans="4:8" s="25" customFormat="1" ht="11.25" customHeight="1">
      <c r="D1494" s="28"/>
      <c r="E1494" s="28"/>
      <c r="F1494" s="28"/>
      <c r="G1494" s="28"/>
      <c r="H1494" s="28"/>
    </row>
    <row r="1495" spans="4:8" s="25" customFormat="1" ht="11.25" customHeight="1">
      <c r="D1495" s="28"/>
      <c r="E1495" s="28"/>
      <c r="F1495" s="28"/>
      <c r="G1495" s="28"/>
      <c r="H1495" s="28"/>
    </row>
    <row r="1496" spans="4:8" s="25" customFormat="1" ht="11.25" customHeight="1">
      <c r="D1496" s="28"/>
      <c r="E1496" s="28"/>
      <c r="F1496" s="28"/>
      <c r="G1496" s="28"/>
      <c r="H1496" s="28"/>
    </row>
    <row r="1497" spans="4:8" s="25" customFormat="1" ht="11.25" customHeight="1">
      <c r="D1497" s="28"/>
      <c r="E1497" s="28"/>
      <c r="F1497" s="28"/>
      <c r="G1497" s="28"/>
      <c r="H1497" s="28"/>
    </row>
    <row r="1498" spans="4:8" s="25" customFormat="1" ht="11.25" customHeight="1">
      <c r="D1498" s="28"/>
      <c r="E1498" s="28"/>
      <c r="F1498" s="28"/>
      <c r="G1498" s="28"/>
      <c r="H1498" s="28"/>
    </row>
    <row r="1499" spans="4:8" s="25" customFormat="1" ht="11.25" customHeight="1">
      <c r="D1499" s="28"/>
      <c r="E1499" s="28"/>
      <c r="F1499" s="28"/>
      <c r="G1499" s="28"/>
      <c r="H1499" s="28"/>
    </row>
    <row r="1500" spans="4:8" s="25" customFormat="1" ht="11.25" customHeight="1">
      <c r="D1500" s="28"/>
      <c r="E1500" s="28"/>
      <c r="F1500" s="28"/>
      <c r="G1500" s="28"/>
      <c r="H1500" s="28"/>
    </row>
    <row r="1501" spans="4:8" s="25" customFormat="1" ht="11.25" customHeight="1">
      <c r="D1501" s="28"/>
      <c r="E1501" s="28"/>
      <c r="F1501" s="28"/>
      <c r="G1501" s="28"/>
      <c r="H1501" s="28"/>
    </row>
    <row r="1502" spans="4:8" s="25" customFormat="1" ht="11.25" customHeight="1">
      <c r="D1502" s="28"/>
      <c r="E1502" s="28"/>
      <c r="F1502" s="28"/>
      <c r="G1502" s="28"/>
      <c r="H1502" s="28"/>
    </row>
    <row r="1503" spans="4:8" s="25" customFormat="1" ht="11.25" customHeight="1">
      <c r="D1503" s="28"/>
      <c r="E1503" s="28"/>
      <c r="F1503" s="28"/>
      <c r="G1503" s="28"/>
      <c r="H1503" s="28"/>
    </row>
    <row r="1504" spans="4:8" s="25" customFormat="1" ht="11.25" customHeight="1">
      <c r="D1504" s="28"/>
      <c r="E1504" s="28"/>
      <c r="F1504" s="28"/>
      <c r="G1504" s="28"/>
      <c r="H1504" s="28"/>
    </row>
    <row r="1505" spans="4:8" s="25" customFormat="1" ht="11.25" customHeight="1">
      <c r="D1505" s="28"/>
      <c r="E1505" s="28"/>
      <c r="F1505" s="28"/>
      <c r="G1505" s="28"/>
      <c r="H1505" s="28"/>
    </row>
    <row r="1506" spans="4:8" s="25" customFormat="1" ht="11.25" customHeight="1">
      <c r="D1506" s="28"/>
      <c r="E1506" s="28"/>
      <c r="F1506" s="28"/>
      <c r="G1506" s="28"/>
      <c r="H1506" s="28"/>
    </row>
    <row r="1507" spans="4:8" s="25" customFormat="1" ht="11.25" customHeight="1">
      <c r="D1507" s="28"/>
      <c r="E1507" s="28"/>
      <c r="F1507" s="28"/>
      <c r="G1507" s="28"/>
      <c r="H1507" s="28"/>
    </row>
    <row r="1508" spans="4:8" s="25" customFormat="1" ht="11.25" customHeight="1">
      <c r="D1508" s="28"/>
      <c r="E1508" s="28"/>
      <c r="F1508" s="28"/>
      <c r="G1508" s="28"/>
      <c r="H1508" s="28"/>
    </row>
    <row r="1509" spans="4:8" s="25" customFormat="1" ht="11.25" customHeight="1">
      <c r="D1509" s="28"/>
      <c r="E1509" s="28"/>
      <c r="F1509" s="28"/>
      <c r="G1509" s="28"/>
      <c r="H1509" s="28"/>
    </row>
    <row r="1510" spans="4:8" s="25" customFormat="1" ht="11.25" customHeight="1">
      <c r="D1510" s="28"/>
      <c r="E1510" s="28"/>
      <c r="F1510" s="28"/>
      <c r="G1510" s="28"/>
      <c r="H1510" s="28"/>
    </row>
    <row r="1511" spans="4:8" s="25" customFormat="1" ht="11.25" customHeight="1">
      <c r="D1511" s="28"/>
      <c r="E1511" s="28"/>
      <c r="F1511" s="28"/>
      <c r="G1511" s="28"/>
      <c r="H1511" s="28"/>
    </row>
    <row r="1512" spans="4:8" s="25" customFormat="1" ht="11.25" customHeight="1">
      <c r="D1512" s="28"/>
      <c r="E1512" s="28"/>
      <c r="F1512" s="28"/>
      <c r="G1512" s="28"/>
      <c r="H1512" s="28"/>
    </row>
    <row r="1513" spans="4:8" s="25" customFormat="1" ht="11.25" customHeight="1">
      <c r="D1513" s="28"/>
      <c r="E1513" s="28"/>
      <c r="F1513" s="28"/>
      <c r="G1513" s="28"/>
      <c r="H1513" s="28"/>
    </row>
    <row r="1514" spans="4:8" s="25" customFormat="1" ht="11.25" customHeight="1">
      <c r="D1514" s="28"/>
      <c r="E1514" s="28"/>
      <c r="F1514" s="28"/>
      <c r="G1514" s="28"/>
      <c r="H1514" s="28"/>
    </row>
    <row r="1515" spans="4:8" s="25" customFormat="1" ht="11.25" customHeight="1">
      <c r="D1515" s="28"/>
      <c r="E1515" s="28"/>
      <c r="F1515" s="28"/>
      <c r="G1515" s="28"/>
      <c r="H1515" s="28"/>
    </row>
    <row r="1516" spans="4:8" s="25" customFormat="1" ht="11.25" customHeight="1">
      <c r="D1516" s="28"/>
      <c r="E1516" s="28"/>
      <c r="F1516" s="28"/>
      <c r="G1516" s="28"/>
      <c r="H1516" s="28"/>
    </row>
    <row r="1517" spans="4:8" s="25" customFormat="1" ht="11.25" customHeight="1">
      <c r="D1517" s="28"/>
      <c r="E1517" s="28"/>
      <c r="F1517" s="28"/>
      <c r="G1517" s="28"/>
      <c r="H1517" s="28"/>
    </row>
    <row r="1518" spans="4:8" s="25" customFormat="1" ht="11.25" customHeight="1">
      <c r="D1518" s="28"/>
      <c r="E1518" s="28"/>
      <c r="F1518" s="28"/>
      <c r="G1518" s="28"/>
      <c r="H1518" s="28"/>
    </row>
    <row r="1519" spans="4:8" s="25" customFormat="1" ht="11.25" customHeight="1">
      <c r="D1519" s="28"/>
      <c r="E1519" s="28"/>
      <c r="F1519" s="28"/>
      <c r="G1519" s="28"/>
      <c r="H1519" s="28"/>
    </row>
    <row r="1520" spans="4:8" s="25" customFormat="1" ht="11.25" customHeight="1">
      <c r="D1520" s="28"/>
      <c r="E1520" s="28"/>
      <c r="F1520" s="28"/>
      <c r="G1520" s="28"/>
      <c r="H1520" s="28"/>
    </row>
    <row r="1521" spans="4:8" s="25" customFormat="1" ht="11.25" customHeight="1">
      <c r="D1521" s="28"/>
      <c r="E1521" s="28"/>
      <c r="F1521" s="28"/>
      <c r="G1521" s="28"/>
      <c r="H1521" s="28"/>
    </row>
    <row r="1522" spans="4:8" s="25" customFormat="1" ht="11.25" customHeight="1">
      <c r="D1522" s="28"/>
      <c r="E1522" s="28"/>
      <c r="F1522" s="28"/>
      <c r="G1522" s="28"/>
      <c r="H1522" s="28"/>
    </row>
    <row r="1523" spans="4:8" s="25" customFormat="1" ht="11.25" customHeight="1">
      <c r="D1523" s="28"/>
      <c r="E1523" s="28"/>
      <c r="F1523" s="28"/>
      <c r="G1523" s="28"/>
      <c r="H1523" s="28"/>
    </row>
    <row r="1524" spans="4:8" s="25" customFormat="1" ht="11.25" customHeight="1">
      <c r="D1524" s="28"/>
      <c r="E1524" s="28"/>
      <c r="F1524" s="28"/>
      <c r="G1524" s="28"/>
      <c r="H1524" s="28"/>
    </row>
    <row r="1525" spans="4:8" s="25" customFormat="1" ht="11.25" customHeight="1">
      <c r="D1525" s="28"/>
      <c r="E1525" s="28"/>
      <c r="F1525" s="28"/>
      <c r="G1525" s="28"/>
      <c r="H1525" s="28"/>
    </row>
    <row r="1526" spans="4:8" s="25" customFormat="1" ht="11.25" customHeight="1">
      <c r="D1526" s="28"/>
      <c r="E1526" s="28"/>
      <c r="F1526" s="28"/>
      <c r="G1526" s="28"/>
      <c r="H1526" s="28"/>
    </row>
    <row r="1527" spans="4:8" s="25" customFormat="1" ht="11.25" customHeight="1">
      <c r="D1527" s="28"/>
      <c r="E1527" s="28"/>
      <c r="F1527" s="28"/>
      <c r="G1527" s="28"/>
      <c r="H1527" s="28"/>
    </row>
    <row r="1528" spans="4:8" s="25" customFormat="1" ht="11.25" customHeight="1">
      <c r="D1528" s="28"/>
      <c r="E1528" s="28"/>
      <c r="F1528" s="28"/>
      <c r="G1528" s="28"/>
      <c r="H1528" s="28"/>
    </row>
    <row r="1529" spans="4:8" s="25" customFormat="1" ht="11.25" customHeight="1">
      <c r="D1529" s="28"/>
      <c r="E1529" s="28"/>
      <c r="F1529" s="28"/>
      <c r="G1529" s="28"/>
      <c r="H1529" s="28"/>
    </row>
    <row r="1530" spans="4:8" s="25" customFormat="1" ht="11.25" customHeight="1">
      <c r="D1530" s="28"/>
      <c r="E1530" s="28"/>
      <c r="F1530" s="28"/>
      <c r="G1530" s="28"/>
      <c r="H1530" s="28"/>
    </row>
    <row r="1531" spans="4:8" s="25" customFormat="1" ht="11.25" customHeight="1">
      <c r="D1531" s="28"/>
      <c r="E1531" s="28"/>
      <c r="F1531" s="28"/>
      <c r="G1531" s="28"/>
      <c r="H1531" s="28"/>
    </row>
    <row r="1532" spans="4:8" s="25" customFormat="1" ht="11.25" customHeight="1">
      <c r="D1532" s="28"/>
      <c r="E1532" s="28"/>
      <c r="F1532" s="28"/>
      <c r="G1532" s="28"/>
      <c r="H1532" s="28"/>
    </row>
    <row r="1533" spans="4:8" s="25" customFormat="1" ht="11.25" customHeight="1">
      <c r="D1533" s="28"/>
      <c r="E1533" s="28"/>
      <c r="F1533" s="28"/>
      <c r="G1533" s="28"/>
      <c r="H1533" s="28"/>
    </row>
    <row r="1534" spans="4:8" s="25" customFormat="1" ht="11.25" customHeight="1">
      <c r="D1534" s="28"/>
      <c r="E1534" s="28"/>
      <c r="F1534" s="28"/>
      <c r="G1534" s="28"/>
      <c r="H1534" s="28"/>
    </row>
    <row r="1535" spans="4:8" s="25" customFormat="1" ht="11.25" customHeight="1">
      <c r="D1535" s="28"/>
      <c r="E1535" s="28"/>
      <c r="F1535" s="28"/>
      <c r="G1535" s="28"/>
      <c r="H1535" s="28"/>
    </row>
    <row r="1536" spans="4:8" s="25" customFormat="1" ht="11.25" customHeight="1">
      <c r="D1536" s="28"/>
      <c r="E1536" s="28"/>
      <c r="F1536" s="28"/>
      <c r="G1536" s="28"/>
      <c r="H1536" s="28"/>
    </row>
    <row r="1537" spans="4:8" s="25" customFormat="1" ht="11.25" customHeight="1">
      <c r="D1537" s="28"/>
      <c r="E1537" s="28"/>
      <c r="F1537" s="28"/>
      <c r="G1537" s="28"/>
      <c r="H1537" s="28"/>
    </row>
    <row r="1538" spans="4:8" s="25" customFormat="1" ht="11.25" customHeight="1">
      <c r="D1538" s="28"/>
      <c r="E1538" s="28"/>
      <c r="F1538" s="28"/>
      <c r="G1538" s="28"/>
      <c r="H1538" s="28"/>
    </row>
    <row r="1539" spans="4:8" s="25" customFormat="1" ht="11.25" customHeight="1">
      <c r="D1539" s="28"/>
      <c r="E1539" s="28"/>
      <c r="F1539" s="28"/>
      <c r="G1539" s="28"/>
      <c r="H1539" s="28"/>
    </row>
    <row r="1540" spans="4:8" s="25" customFormat="1" ht="11.25" customHeight="1">
      <c r="D1540" s="28"/>
      <c r="E1540" s="28"/>
      <c r="F1540" s="28"/>
      <c r="G1540" s="28"/>
      <c r="H1540" s="28"/>
    </row>
    <row r="1541" spans="4:8" s="25" customFormat="1" ht="11.25" customHeight="1">
      <c r="D1541" s="28"/>
      <c r="E1541" s="28"/>
      <c r="F1541" s="28"/>
      <c r="G1541" s="28"/>
      <c r="H1541" s="28"/>
    </row>
    <row r="1542" spans="4:8" s="25" customFormat="1" ht="11.25" customHeight="1">
      <c r="D1542" s="28"/>
      <c r="E1542" s="28"/>
      <c r="F1542" s="28"/>
      <c r="G1542" s="28"/>
      <c r="H1542" s="28"/>
    </row>
    <row r="1543" spans="4:8" s="25" customFormat="1" ht="11.25" customHeight="1">
      <c r="D1543" s="28"/>
      <c r="E1543" s="28"/>
      <c r="F1543" s="28"/>
      <c r="G1543" s="28"/>
      <c r="H1543" s="28"/>
    </row>
    <row r="1544" spans="4:8" s="25" customFormat="1" ht="11.25" customHeight="1">
      <c r="D1544" s="28"/>
      <c r="E1544" s="28"/>
      <c r="F1544" s="28"/>
      <c r="G1544" s="28"/>
      <c r="H1544" s="28"/>
    </row>
    <row r="1545" spans="4:8" s="25" customFormat="1" ht="11.25" customHeight="1">
      <c r="D1545" s="28"/>
      <c r="E1545" s="28"/>
      <c r="F1545" s="28"/>
      <c r="G1545" s="28"/>
      <c r="H1545" s="28"/>
    </row>
    <row r="1546" spans="4:8" s="25" customFormat="1" ht="11.25" customHeight="1">
      <c r="D1546" s="28"/>
      <c r="E1546" s="28"/>
      <c r="F1546" s="28"/>
      <c r="G1546" s="28"/>
      <c r="H1546" s="28"/>
    </row>
    <row r="1547" spans="4:8" s="25" customFormat="1" ht="11.25" customHeight="1">
      <c r="D1547" s="28"/>
      <c r="E1547" s="28"/>
      <c r="F1547" s="28"/>
      <c r="G1547" s="28"/>
      <c r="H1547" s="28"/>
    </row>
    <row r="1548" spans="4:8" s="25" customFormat="1" ht="11.25" customHeight="1">
      <c r="D1548" s="28"/>
      <c r="E1548" s="28"/>
      <c r="F1548" s="28"/>
      <c r="G1548" s="28"/>
      <c r="H1548" s="28"/>
    </row>
    <row r="1549" spans="4:8" s="25" customFormat="1" ht="11.25" customHeight="1">
      <c r="D1549" s="28"/>
      <c r="E1549" s="28"/>
      <c r="F1549" s="28"/>
      <c r="G1549" s="28"/>
      <c r="H1549" s="28"/>
    </row>
    <row r="1550" spans="4:8" s="25" customFormat="1" ht="11.25" customHeight="1">
      <c r="D1550" s="28"/>
      <c r="E1550" s="28"/>
      <c r="F1550" s="28"/>
      <c r="G1550" s="28"/>
      <c r="H1550" s="28"/>
    </row>
    <row r="1551" spans="4:8" s="25" customFormat="1" ht="11.25" customHeight="1">
      <c r="D1551" s="28"/>
      <c r="E1551" s="28"/>
      <c r="F1551" s="28"/>
      <c r="G1551" s="28"/>
      <c r="H1551" s="28"/>
    </row>
    <row r="1552" spans="4:8" s="25" customFormat="1" ht="11.25" customHeight="1">
      <c r="D1552" s="28"/>
      <c r="E1552" s="28"/>
      <c r="F1552" s="28"/>
      <c r="G1552" s="28"/>
      <c r="H1552" s="28"/>
    </row>
    <row r="1553" spans="4:8" s="25" customFormat="1" ht="11.25" customHeight="1">
      <c r="D1553" s="28"/>
      <c r="E1553" s="28"/>
      <c r="F1553" s="28"/>
      <c r="G1553" s="28"/>
      <c r="H1553" s="28"/>
    </row>
    <row r="1554" spans="4:8" s="25" customFormat="1" ht="11.25" customHeight="1">
      <c r="D1554" s="28"/>
      <c r="E1554" s="28"/>
      <c r="F1554" s="28"/>
      <c r="G1554" s="28"/>
      <c r="H1554" s="28"/>
    </row>
    <row r="1555" spans="4:8" s="25" customFormat="1" ht="11.25" customHeight="1">
      <c r="D1555" s="28"/>
      <c r="E1555" s="28"/>
      <c r="F1555" s="28"/>
      <c r="G1555" s="28"/>
      <c r="H1555" s="28"/>
    </row>
    <row r="1556" spans="4:8" s="25" customFormat="1" ht="11.25" customHeight="1">
      <c r="D1556" s="28"/>
      <c r="E1556" s="28"/>
      <c r="F1556" s="28"/>
      <c r="G1556" s="28"/>
      <c r="H1556" s="28"/>
    </row>
    <row r="1557" spans="4:8" s="25" customFormat="1" ht="11.25" customHeight="1">
      <c r="D1557" s="28"/>
      <c r="E1557" s="28"/>
      <c r="F1557" s="28"/>
      <c r="G1557" s="28"/>
      <c r="H1557" s="28"/>
    </row>
    <row r="1558" spans="4:8" s="25" customFormat="1" ht="11.25" customHeight="1">
      <c r="D1558" s="28"/>
      <c r="E1558" s="28"/>
      <c r="F1558" s="28"/>
      <c r="G1558" s="28"/>
      <c r="H1558" s="28"/>
    </row>
    <row r="1559" spans="4:8" s="25" customFormat="1" ht="11.25" customHeight="1">
      <c r="D1559" s="28"/>
      <c r="E1559" s="28"/>
      <c r="F1559" s="28"/>
      <c r="G1559" s="28"/>
      <c r="H1559" s="28"/>
    </row>
    <row r="1560" spans="4:8" s="25" customFormat="1" ht="11.25" customHeight="1">
      <c r="D1560" s="28"/>
      <c r="E1560" s="28"/>
      <c r="F1560" s="28"/>
      <c r="G1560" s="28"/>
      <c r="H1560" s="28"/>
    </row>
    <row r="1561" spans="4:8" s="25" customFormat="1" ht="11.25" customHeight="1">
      <c r="D1561" s="28"/>
      <c r="E1561" s="28"/>
      <c r="F1561" s="28"/>
      <c r="G1561" s="28"/>
      <c r="H1561" s="28"/>
    </row>
    <row r="1562" spans="4:8" s="25" customFormat="1" ht="11.25" customHeight="1">
      <c r="D1562" s="28"/>
      <c r="E1562" s="28"/>
      <c r="F1562" s="28"/>
      <c r="G1562" s="28"/>
      <c r="H1562" s="28"/>
    </row>
    <row r="1563" spans="4:8" s="25" customFormat="1" ht="11.25" customHeight="1">
      <c r="D1563" s="28"/>
      <c r="E1563" s="28"/>
      <c r="F1563" s="28"/>
      <c r="G1563" s="28"/>
      <c r="H1563" s="28"/>
    </row>
    <row r="1564" spans="4:8" s="25" customFormat="1" ht="11.25" customHeight="1">
      <c r="D1564" s="28"/>
      <c r="E1564" s="28"/>
      <c r="F1564" s="28"/>
      <c r="G1564" s="28"/>
      <c r="H1564" s="28"/>
    </row>
    <row r="1565" spans="4:8" s="25" customFormat="1" ht="11.25" customHeight="1">
      <c r="D1565" s="28"/>
      <c r="E1565" s="28"/>
      <c r="F1565" s="28"/>
      <c r="G1565" s="28"/>
      <c r="H1565" s="28"/>
    </row>
    <row r="1566" spans="4:8" s="25" customFormat="1" ht="11.25" customHeight="1">
      <c r="D1566" s="28"/>
      <c r="E1566" s="28"/>
      <c r="F1566" s="28"/>
      <c r="G1566" s="28"/>
      <c r="H1566" s="28"/>
    </row>
    <row r="1567" spans="4:8" s="25" customFormat="1" ht="11.25" customHeight="1">
      <c r="D1567" s="28"/>
      <c r="E1567" s="28"/>
      <c r="F1567" s="28"/>
      <c r="G1567" s="28"/>
      <c r="H1567" s="28"/>
    </row>
    <row r="1568" spans="4:8" s="25" customFormat="1" ht="11.25" customHeight="1">
      <c r="D1568" s="28"/>
      <c r="E1568" s="28"/>
      <c r="F1568" s="28"/>
      <c r="G1568" s="28"/>
      <c r="H1568" s="28"/>
    </row>
    <row r="1569" spans="4:8" s="25" customFormat="1" ht="11.25" customHeight="1">
      <c r="D1569" s="28"/>
      <c r="E1569" s="28"/>
      <c r="F1569" s="28"/>
      <c r="G1569" s="28"/>
      <c r="H1569" s="28"/>
    </row>
    <row r="1570" spans="4:8" s="25" customFormat="1" ht="11.25" customHeight="1">
      <c r="D1570" s="28"/>
      <c r="E1570" s="28"/>
      <c r="F1570" s="28"/>
      <c r="G1570" s="28"/>
      <c r="H1570" s="28"/>
    </row>
    <row r="1571" spans="4:8" s="25" customFormat="1" ht="11.25" customHeight="1">
      <c r="D1571" s="28"/>
      <c r="E1571" s="28"/>
      <c r="F1571" s="28"/>
      <c r="G1571" s="28"/>
      <c r="H1571" s="28"/>
    </row>
    <row r="1572" spans="4:8" s="25" customFormat="1" ht="11.25" customHeight="1">
      <c r="D1572" s="28"/>
      <c r="E1572" s="28"/>
      <c r="F1572" s="28"/>
      <c r="G1572" s="28"/>
      <c r="H1572" s="28"/>
    </row>
    <row r="1573" spans="4:8" s="25" customFormat="1" ht="11.25" customHeight="1">
      <c r="D1573" s="28"/>
      <c r="E1573" s="28"/>
      <c r="F1573" s="28"/>
      <c r="G1573" s="28"/>
      <c r="H1573" s="28"/>
    </row>
    <row r="1574" spans="4:8" s="25" customFormat="1" ht="11.25" customHeight="1">
      <c r="D1574" s="28"/>
      <c r="E1574" s="28"/>
      <c r="F1574" s="28"/>
      <c r="G1574" s="28"/>
      <c r="H1574" s="28"/>
    </row>
    <row r="1575" spans="4:8" s="25" customFormat="1" ht="11.25" customHeight="1">
      <c r="D1575" s="28"/>
      <c r="E1575" s="28"/>
      <c r="F1575" s="28"/>
      <c r="G1575" s="28"/>
      <c r="H1575" s="28"/>
    </row>
    <row r="1576" spans="4:8" s="25" customFormat="1" ht="11.25" customHeight="1">
      <c r="D1576" s="28"/>
      <c r="E1576" s="28"/>
      <c r="F1576" s="28"/>
      <c r="G1576" s="28"/>
      <c r="H1576" s="28"/>
    </row>
    <row r="1577" spans="4:8" s="25" customFormat="1" ht="11.25" customHeight="1">
      <c r="D1577" s="28"/>
      <c r="E1577" s="28"/>
      <c r="F1577" s="28"/>
      <c r="G1577" s="28"/>
      <c r="H1577" s="28"/>
    </row>
    <row r="1578" spans="4:8" s="25" customFormat="1" ht="11.25" customHeight="1">
      <c r="D1578" s="28"/>
      <c r="E1578" s="28"/>
      <c r="F1578" s="28"/>
      <c r="G1578" s="28"/>
      <c r="H1578" s="28"/>
    </row>
    <row r="1579" spans="4:8" s="25" customFormat="1" ht="11.25" customHeight="1">
      <c r="D1579" s="28"/>
      <c r="E1579" s="28"/>
      <c r="F1579" s="28"/>
      <c r="G1579" s="28"/>
      <c r="H1579" s="28"/>
    </row>
    <row r="1580" spans="4:8" s="25" customFormat="1" ht="11.25" customHeight="1">
      <c r="D1580" s="28"/>
      <c r="E1580" s="28"/>
      <c r="F1580" s="28"/>
      <c r="G1580" s="28"/>
      <c r="H1580" s="28"/>
    </row>
    <row r="1581" spans="4:8" s="25" customFormat="1" ht="11.25" customHeight="1">
      <c r="D1581" s="28"/>
      <c r="E1581" s="28"/>
      <c r="F1581" s="28"/>
      <c r="G1581" s="28"/>
      <c r="H1581" s="28"/>
    </row>
    <row r="1582" spans="4:8" s="25" customFormat="1" ht="11.25" customHeight="1">
      <c r="D1582" s="28"/>
      <c r="E1582" s="28"/>
      <c r="F1582" s="28"/>
      <c r="G1582" s="28"/>
      <c r="H1582" s="28"/>
    </row>
    <row r="1583" spans="4:8" s="25" customFormat="1" ht="11.25" customHeight="1">
      <c r="D1583" s="28"/>
      <c r="E1583" s="28"/>
      <c r="F1583" s="28"/>
      <c r="G1583" s="28"/>
      <c r="H1583" s="28"/>
    </row>
    <row r="1584" spans="4:8" s="25" customFormat="1" ht="11.25" customHeight="1">
      <c r="D1584" s="28"/>
      <c r="E1584" s="28"/>
      <c r="F1584" s="28"/>
      <c r="G1584" s="28"/>
      <c r="H1584" s="28"/>
    </row>
    <row r="1585" spans="4:8" s="25" customFormat="1" ht="11.25" customHeight="1">
      <c r="D1585" s="28"/>
      <c r="E1585" s="28"/>
      <c r="F1585" s="28"/>
      <c r="G1585" s="28"/>
      <c r="H1585" s="28"/>
    </row>
    <row r="1586" spans="4:8" s="25" customFormat="1" ht="11.25" customHeight="1">
      <c r="D1586" s="28"/>
      <c r="E1586" s="28"/>
      <c r="F1586" s="28"/>
      <c r="G1586" s="28"/>
      <c r="H1586" s="28"/>
    </row>
    <row r="1587" spans="4:8" s="25" customFormat="1" ht="11.25" customHeight="1">
      <c r="D1587" s="28"/>
      <c r="E1587" s="28"/>
      <c r="F1587" s="28"/>
      <c r="G1587" s="28"/>
      <c r="H1587" s="28"/>
    </row>
    <row r="1588" spans="4:8" s="25" customFormat="1" ht="11.25" customHeight="1">
      <c r="D1588" s="28"/>
      <c r="E1588" s="28"/>
      <c r="F1588" s="28"/>
      <c r="G1588" s="28"/>
      <c r="H1588" s="28"/>
    </row>
    <row r="1589" spans="4:8" s="25" customFormat="1" ht="11.25" customHeight="1">
      <c r="D1589" s="28"/>
      <c r="E1589" s="28"/>
      <c r="F1589" s="28"/>
      <c r="G1589" s="28"/>
      <c r="H1589" s="28"/>
    </row>
    <row r="1590" spans="4:8" s="25" customFormat="1" ht="11.25" customHeight="1">
      <c r="D1590" s="28"/>
      <c r="E1590" s="28"/>
      <c r="F1590" s="28"/>
      <c r="G1590" s="28"/>
      <c r="H1590" s="28"/>
    </row>
    <row r="1591" spans="4:8" s="25" customFormat="1" ht="11.25" customHeight="1">
      <c r="D1591" s="28"/>
      <c r="E1591" s="28"/>
      <c r="F1591" s="28"/>
      <c r="G1591" s="28"/>
      <c r="H1591" s="28"/>
    </row>
    <row r="1592" spans="4:8" s="25" customFormat="1" ht="11.25" customHeight="1">
      <c r="D1592" s="28"/>
      <c r="E1592" s="28"/>
      <c r="F1592" s="28"/>
      <c r="G1592" s="28"/>
      <c r="H1592" s="28"/>
    </row>
    <row r="1593" spans="4:8" s="25" customFormat="1" ht="11.25" customHeight="1">
      <c r="D1593" s="28"/>
      <c r="E1593" s="28"/>
      <c r="F1593" s="28"/>
      <c r="G1593" s="28"/>
      <c r="H1593" s="28"/>
    </row>
    <row r="1594" spans="4:8" s="25" customFormat="1" ht="11.25" customHeight="1">
      <c r="D1594" s="28"/>
      <c r="E1594" s="28"/>
      <c r="F1594" s="28"/>
      <c r="G1594" s="28"/>
      <c r="H1594" s="28"/>
    </row>
    <row r="1595" spans="4:8" s="25" customFormat="1" ht="11.25" customHeight="1">
      <c r="D1595" s="28"/>
      <c r="E1595" s="28"/>
      <c r="F1595" s="28"/>
      <c r="G1595" s="28"/>
      <c r="H1595" s="28"/>
    </row>
    <row r="1596" spans="4:8" s="25" customFormat="1" ht="11.25" customHeight="1">
      <c r="D1596" s="28"/>
      <c r="E1596" s="28"/>
      <c r="F1596" s="28"/>
      <c r="G1596" s="28"/>
      <c r="H1596" s="28"/>
    </row>
    <row r="1597" spans="4:8" s="25" customFormat="1" ht="11.25" customHeight="1">
      <c r="D1597" s="28"/>
      <c r="E1597" s="28"/>
      <c r="F1597" s="28"/>
      <c r="G1597" s="28"/>
      <c r="H1597" s="28"/>
    </row>
    <row r="1598" spans="4:8" s="25" customFormat="1" ht="11.25" customHeight="1">
      <c r="D1598" s="28"/>
      <c r="E1598" s="28"/>
      <c r="F1598" s="28"/>
      <c r="G1598" s="28"/>
      <c r="H1598" s="28"/>
    </row>
    <row r="1599" spans="4:8" s="25" customFormat="1" ht="11.25" customHeight="1">
      <c r="D1599" s="28"/>
      <c r="E1599" s="28"/>
      <c r="F1599" s="28"/>
      <c r="G1599" s="28"/>
      <c r="H1599" s="28"/>
    </row>
    <row r="1600" spans="4:8" s="25" customFormat="1" ht="11.25" customHeight="1">
      <c r="D1600" s="28"/>
      <c r="E1600" s="28"/>
      <c r="F1600" s="28"/>
      <c r="G1600" s="28"/>
      <c r="H1600" s="28"/>
    </row>
    <row r="1601" spans="4:8" s="25" customFormat="1" ht="11.25" customHeight="1">
      <c r="D1601" s="28"/>
      <c r="E1601" s="28"/>
      <c r="F1601" s="28"/>
      <c r="G1601" s="28"/>
      <c r="H1601" s="28"/>
    </row>
    <row r="1602" spans="4:8" s="25" customFormat="1" ht="11.25" customHeight="1">
      <c r="D1602" s="28"/>
      <c r="E1602" s="28"/>
      <c r="F1602" s="28"/>
      <c r="G1602" s="28"/>
      <c r="H1602" s="28"/>
    </row>
    <row r="1603" spans="4:8" s="25" customFormat="1" ht="11.25" customHeight="1">
      <c r="D1603" s="28"/>
      <c r="E1603" s="28"/>
      <c r="F1603" s="28"/>
      <c r="G1603" s="28"/>
      <c r="H1603" s="28"/>
    </row>
    <row r="1604" spans="4:8" s="25" customFormat="1" ht="11.25" customHeight="1">
      <c r="D1604" s="28"/>
      <c r="E1604" s="28"/>
      <c r="F1604" s="28"/>
      <c r="G1604" s="28"/>
      <c r="H1604" s="28"/>
    </row>
    <row r="1605" spans="4:8" s="25" customFormat="1" ht="11.25" customHeight="1">
      <c r="D1605" s="28"/>
      <c r="E1605" s="28"/>
      <c r="F1605" s="28"/>
      <c r="G1605" s="28"/>
      <c r="H1605" s="28"/>
    </row>
    <row r="1606" spans="4:8" s="25" customFormat="1" ht="11.25" customHeight="1">
      <c r="D1606" s="28"/>
      <c r="E1606" s="28"/>
      <c r="F1606" s="28"/>
      <c r="G1606" s="28"/>
      <c r="H1606" s="28"/>
    </row>
    <row r="1607" spans="4:8" s="25" customFormat="1" ht="11.25" customHeight="1">
      <c r="D1607" s="28"/>
      <c r="E1607" s="28"/>
      <c r="F1607" s="28"/>
      <c r="G1607" s="28"/>
      <c r="H1607" s="28"/>
    </row>
    <row r="1608" spans="4:8" s="25" customFormat="1" ht="11.25" customHeight="1">
      <c r="D1608" s="28"/>
      <c r="E1608" s="28"/>
      <c r="F1608" s="28"/>
      <c r="G1608" s="28"/>
      <c r="H1608" s="28"/>
    </row>
    <row r="1609" spans="4:8" s="25" customFormat="1" ht="11.25" customHeight="1">
      <c r="D1609" s="28"/>
      <c r="E1609" s="28"/>
      <c r="F1609" s="28"/>
      <c r="G1609" s="28"/>
      <c r="H1609" s="28"/>
    </row>
    <row r="1610" spans="4:8" s="25" customFormat="1" ht="11.25" customHeight="1">
      <c r="D1610" s="28"/>
      <c r="E1610" s="28"/>
      <c r="F1610" s="28"/>
      <c r="G1610" s="28"/>
      <c r="H1610" s="28"/>
    </row>
    <row r="1611" spans="4:8" s="25" customFormat="1" ht="11.25" customHeight="1">
      <c r="D1611" s="28"/>
      <c r="E1611" s="28"/>
      <c r="F1611" s="28"/>
      <c r="G1611" s="28"/>
      <c r="H1611" s="28"/>
    </row>
    <row r="1612" spans="4:8" s="25" customFormat="1" ht="11.25" customHeight="1">
      <c r="D1612" s="28"/>
      <c r="E1612" s="28"/>
      <c r="F1612" s="28"/>
      <c r="G1612" s="28"/>
      <c r="H1612" s="28"/>
    </row>
    <row r="1613" spans="4:8" s="25" customFormat="1" ht="11.25" customHeight="1">
      <c r="D1613" s="28"/>
      <c r="E1613" s="28"/>
      <c r="F1613" s="28"/>
      <c r="G1613" s="28"/>
      <c r="H1613" s="28"/>
    </row>
    <row r="1614" spans="4:8" s="25" customFormat="1" ht="11.25" customHeight="1">
      <c r="D1614" s="28"/>
      <c r="E1614" s="28"/>
      <c r="F1614" s="28"/>
      <c r="G1614" s="28"/>
      <c r="H1614" s="28"/>
    </row>
    <row r="1615" spans="4:8" s="25" customFormat="1" ht="11.25" customHeight="1">
      <c r="D1615" s="28"/>
      <c r="E1615" s="28"/>
      <c r="F1615" s="28"/>
      <c r="G1615" s="28"/>
      <c r="H1615" s="28"/>
    </row>
    <row r="1616" spans="4:8" s="25" customFormat="1" ht="11.25" customHeight="1">
      <c r="D1616" s="28"/>
      <c r="E1616" s="28"/>
      <c r="F1616" s="28"/>
      <c r="G1616" s="28"/>
      <c r="H1616" s="28"/>
    </row>
    <row r="1617" spans="4:8" s="25" customFormat="1" ht="11.25" customHeight="1">
      <c r="D1617" s="28"/>
      <c r="E1617" s="28"/>
      <c r="F1617" s="28"/>
      <c r="G1617" s="28"/>
      <c r="H1617" s="28"/>
    </row>
    <row r="1618" spans="4:8" s="25" customFormat="1" ht="11.25" customHeight="1">
      <c r="D1618" s="28"/>
      <c r="E1618" s="28"/>
      <c r="F1618" s="28"/>
      <c r="G1618" s="28"/>
      <c r="H1618" s="28"/>
    </row>
    <row r="1619" spans="4:8" s="25" customFormat="1" ht="11.25" customHeight="1">
      <c r="D1619" s="28"/>
      <c r="E1619" s="28"/>
      <c r="F1619" s="28"/>
      <c r="G1619" s="28"/>
      <c r="H1619" s="28"/>
    </row>
    <row r="1620" spans="4:8" s="25" customFormat="1" ht="11.25" customHeight="1">
      <c r="D1620" s="28"/>
      <c r="E1620" s="28"/>
      <c r="F1620" s="28"/>
      <c r="G1620" s="28"/>
      <c r="H1620" s="28"/>
    </row>
    <row r="1621" spans="4:8" s="25" customFormat="1" ht="11.25" customHeight="1">
      <c r="D1621" s="28"/>
      <c r="E1621" s="28"/>
      <c r="F1621" s="28"/>
      <c r="G1621" s="28"/>
      <c r="H1621" s="28"/>
    </row>
    <row r="1622" spans="4:8" s="25" customFormat="1" ht="11.25" customHeight="1">
      <c r="D1622" s="28"/>
      <c r="E1622" s="28"/>
      <c r="F1622" s="28"/>
      <c r="G1622" s="28"/>
      <c r="H1622" s="28"/>
    </row>
    <row r="1623" spans="4:8" s="25" customFormat="1" ht="11.25" customHeight="1">
      <c r="D1623" s="28"/>
      <c r="E1623" s="28"/>
      <c r="F1623" s="28"/>
      <c r="G1623" s="28"/>
      <c r="H1623" s="28"/>
    </row>
    <row r="1624" spans="4:8" s="25" customFormat="1" ht="11.25" customHeight="1">
      <c r="D1624" s="28"/>
      <c r="E1624" s="28"/>
      <c r="F1624" s="28"/>
      <c r="G1624" s="28"/>
      <c r="H1624" s="28"/>
    </row>
    <row r="1625" spans="4:8" s="25" customFormat="1" ht="11.25" customHeight="1">
      <c r="D1625" s="28"/>
      <c r="E1625" s="28"/>
      <c r="F1625" s="28"/>
      <c r="G1625" s="28"/>
      <c r="H1625" s="28"/>
    </row>
    <row r="1626" spans="4:8" s="25" customFormat="1" ht="11.25" customHeight="1">
      <c r="D1626" s="28"/>
      <c r="E1626" s="28"/>
      <c r="F1626" s="28"/>
      <c r="G1626" s="28"/>
      <c r="H1626" s="28"/>
    </row>
    <row r="1627" spans="4:8" s="25" customFormat="1" ht="11.25" customHeight="1">
      <c r="D1627" s="28"/>
      <c r="E1627" s="28"/>
      <c r="F1627" s="28"/>
      <c r="G1627" s="28"/>
      <c r="H1627" s="28"/>
    </row>
    <row r="1628" spans="4:8" s="25" customFormat="1" ht="11.25" customHeight="1">
      <c r="D1628" s="28"/>
      <c r="E1628" s="28"/>
      <c r="F1628" s="28"/>
      <c r="G1628" s="28"/>
      <c r="H1628" s="28"/>
    </row>
    <row r="1629" spans="4:8" s="25" customFormat="1" ht="11.25" customHeight="1">
      <c r="D1629" s="28"/>
      <c r="E1629" s="28"/>
      <c r="F1629" s="28"/>
      <c r="G1629" s="28"/>
      <c r="H1629" s="28"/>
    </row>
    <row r="1630" spans="4:8" s="25" customFormat="1" ht="11.25" customHeight="1">
      <c r="D1630" s="28"/>
      <c r="E1630" s="28"/>
      <c r="F1630" s="28"/>
      <c r="G1630" s="28"/>
      <c r="H1630" s="28"/>
    </row>
    <row r="1631" spans="4:8" s="25" customFormat="1" ht="11.25" customHeight="1">
      <c r="D1631" s="28"/>
      <c r="E1631" s="28"/>
      <c r="F1631" s="28"/>
      <c r="G1631" s="28"/>
      <c r="H1631" s="28"/>
    </row>
    <row r="1632" spans="4:8" s="25" customFormat="1" ht="11.25" customHeight="1">
      <c r="D1632" s="28"/>
      <c r="E1632" s="28"/>
      <c r="F1632" s="28"/>
      <c r="G1632" s="28"/>
      <c r="H1632" s="28"/>
    </row>
    <row r="1633" spans="4:8" s="25" customFormat="1" ht="11.25" customHeight="1">
      <c r="D1633" s="28"/>
      <c r="E1633" s="28"/>
      <c r="F1633" s="28"/>
      <c r="G1633" s="28"/>
      <c r="H1633" s="28"/>
    </row>
    <row r="1634" spans="4:8" s="25" customFormat="1" ht="11.25" customHeight="1">
      <c r="D1634" s="28"/>
      <c r="E1634" s="28"/>
      <c r="F1634" s="28"/>
      <c r="G1634" s="28"/>
      <c r="H1634" s="28"/>
    </row>
    <row r="1635" spans="4:8" s="25" customFormat="1" ht="11.25" customHeight="1">
      <c r="D1635" s="28"/>
      <c r="E1635" s="28"/>
      <c r="F1635" s="28"/>
      <c r="G1635" s="28"/>
      <c r="H1635" s="28"/>
    </row>
    <row r="1636" spans="4:8" s="25" customFormat="1" ht="11.25" customHeight="1">
      <c r="D1636" s="28"/>
      <c r="E1636" s="28"/>
      <c r="F1636" s="28"/>
      <c r="G1636" s="28"/>
      <c r="H1636" s="28"/>
    </row>
    <row r="1637" spans="4:8" s="25" customFormat="1" ht="11.25" customHeight="1">
      <c r="D1637" s="28"/>
      <c r="E1637" s="28"/>
      <c r="F1637" s="28"/>
      <c r="G1637" s="28"/>
      <c r="H1637" s="28"/>
    </row>
    <row r="1638" spans="4:8" s="25" customFormat="1" ht="11.25" customHeight="1">
      <c r="D1638" s="28"/>
      <c r="E1638" s="28"/>
      <c r="F1638" s="28"/>
      <c r="G1638" s="28"/>
      <c r="H1638" s="28"/>
    </row>
    <row r="1639" spans="4:8" s="25" customFormat="1" ht="11.25" customHeight="1">
      <c r="D1639" s="28"/>
      <c r="E1639" s="28"/>
      <c r="F1639" s="28"/>
      <c r="G1639" s="28"/>
      <c r="H1639" s="28"/>
    </row>
    <row r="1640" spans="4:8" s="25" customFormat="1" ht="11.25" customHeight="1">
      <c r="D1640" s="28"/>
      <c r="E1640" s="28"/>
      <c r="F1640" s="28"/>
      <c r="G1640" s="28"/>
      <c r="H1640" s="28"/>
    </row>
    <row r="1641" spans="4:8" s="25" customFormat="1" ht="11.25" customHeight="1">
      <c r="D1641" s="28"/>
      <c r="E1641" s="28"/>
      <c r="F1641" s="28"/>
      <c r="G1641" s="28"/>
      <c r="H1641" s="28"/>
    </row>
    <row r="1642" spans="4:8" s="25" customFormat="1" ht="11.25" customHeight="1">
      <c r="D1642" s="28"/>
      <c r="E1642" s="28"/>
      <c r="F1642" s="28"/>
      <c r="G1642" s="28"/>
      <c r="H1642" s="28"/>
    </row>
    <row r="1643" spans="4:8" s="25" customFormat="1" ht="11.25" customHeight="1">
      <c r="D1643" s="28"/>
      <c r="E1643" s="28"/>
      <c r="F1643" s="28"/>
      <c r="G1643" s="28"/>
      <c r="H1643" s="28"/>
    </row>
    <row r="1644" spans="4:8" s="25" customFormat="1" ht="11.25" customHeight="1">
      <c r="D1644" s="28"/>
      <c r="E1644" s="28"/>
      <c r="F1644" s="28"/>
      <c r="G1644" s="28"/>
      <c r="H1644" s="28"/>
    </row>
    <row r="1645" spans="4:8" s="25" customFormat="1" ht="11.25" customHeight="1">
      <c r="D1645" s="28"/>
      <c r="E1645" s="28"/>
      <c r="F1645" s="28"/>
      <c r="G1645" s="28"/>
      <c r="H1645" s="28"/>
    </row>
    <row r="1646" spans="4:8" s="25" customFormat="1" ht="11.25" customHeight="1">
      <c r="D1646" s="28"/>
      <c r="E1646" s="28"/>
      <c r="F1646" s="28"/>
      <c r="G1646" s="28"/>
      <c r="H1646" s="28"/>
    </row>
    <row r="1647" spans="4:8" s="25" customFormat="1" ht="11.25" customHeight="1">
      <c r="D1647" s="28"/>
      <c r="E1647" s="28"/>
      <c r="F1647" s="28"/>
      <c r="G1647" s="28"/>
      <c r="H1647" s="28"/>
    </row>
    <row r="1648" spans="4:8" s="25" customFormat="1" ht="11.25" customHeight="1">
      <c r="D1648" s="28"/>
      <c r="E1648" s="28"/>
      <c r="F1648" s="28"/>
      <c r="G1648" s="28"/>
      <c r="H1648" s="28"/>
    </row>
    <row r="1649" spans="4:8" s="25" customFormat="1" ht="11.25" customHeight="1">
      <c r="D1649" s="28"/>
      <c r="E1649" s="28"/>
      <c r="F1649" s="28"/>
      <c r="G1649" s="28"/>
      <c r="H1649" s="28"/>
    </row>
    <row r="1650" spans="4:8" s="25" customFormat="1" ht="11.25" customHeight="1">
      <c r="D1650" s="28"/>
      <c r="E1650" s="28"/>
      <c r="F1650" s="28"/>
      <c r="G1650" s="28"/>
      <c r="H1650" s="28"/>
    </row>
    <row r="1651" spans="4:8" s="25" customFormat="1" ht="11.25" customHeight="1">
      <c r="D1651" s="28"/>
      <c r="E1651" s="28"/>
      <c r="F1651" s="28"/>
      <c r="G1651" s="28"/>
      <c r="H1651" s="28"/>
    </row>
    <row r="1652" spans="4:8" s="25" customFormat="1" ht="11.25" customHeight="1">
      <c r="D1652" s="28"/>
      <c r="E1652" s="28"/>
      <c r="F1652" s="28"/>
      <c r="G1652" s="28"/>
      <c r="H1652" s="28"/>
    </row>
    <row r="1653" spans="4:8" s="25" customFormat="1" ht="11.25" customHeight="1">
      <c r="D1653" s="28"/>
      <c r="E1653" s="28"/>
      <c r="F1653" s="28"/>
      <c r="G1653" s="28"/>
      <c r="H1653" s="28"/>
    </row>
    <row r="1654" spans="4:8" s="25" customFormat="1" ht="11.25" customHeight="1">
      <c r="D1654" s="28"/>
      <c r="E1654" s="28"/>
      <c r="F1654" s="28"/>
      <c r="G1654" s="28"/>
      <c r="H1654" s="28"/>
    </row>
    <row r="1655" spans="4:8" s="25" customFormat="1" ht="11.25" customHeight="1">
      <c r="D1655" s="28"/>
      <c r="E1655" s="28"/>
      <c r="F1655" s="28"/>
      <c r="G1655" s="28"/>
      <c r="H1655" s="28"/>
    </row>
    <row r="1656" spans="4:8" s="25" customFormat="1" ht="11.25" customHeight="1">
      <c r="D1656" s="28"/>
      <c r="E1656" s="28"/>
      <c r="F1656" s="28"/>
      <c r="G1656" s="28"/>
      <c r="H1656" s="28"/>
    </row>
    <row r="1657" spans="4:8" s="25" customFormat="1" ht="11.25" customHeight="1">
      <c r="D1657" s="28"/>
      <c r="E1657" s="28"/>
      <c r="F1657" s="28"/>
      <c r="G1657" s="28"/>
      <c r="H1657" s="28"/>
    </row>
    <row r="1658" spans="4:8" s="25" customFormat="1" ht="11.25" customHeight="1">
      <c r="D1658" s="28"/>
      <c r="E1658" s="28"/>
      <c r="F1658" s="28"/>
      <c r="G1658" s="28"/>
      <c r="H1658" s="28"/>
    </row>
    <row r="1659" spans="4:8" s="25" customFormat="1" ht="11.25" customHeight="1">
      <c r="D1659" s="28"/>
      <c r="E1659" s="28"/>
      <c r="F1659" s="28"/>
      <c r="G1659" s="28"/>
      <c r="H1659" s="28"/>
    </row>
    <row r="1660" spans="4:8" s="25" customFormat="1" ht="11.25" customHeight="1">
      <c r="D1660" s="28"/>
      <c r="E1660" s="28"/>
      <c r="F1660" s="28"/>
      <c r="G1660" s="28"/>
      <c r="H1660" s="28"/>
    </row>
    <row r="1661" spans="4:8" s="25" customFormat="1" ht="11.25" customHeight="1">
      <c r="D1661" s="28"/>
      <c r="E1661" s="28"/>
      <c r="F1661" s="28"/>
      <c r="G1661" s="28"/>
      <c r="H1661" s="28"/>
    </row>
    <row r="1662" spans="4:8" s="25" customFormat="1" ht="11.25" customHeight="1">
      <c r="D1662" s="28"/>
      <c r="E1662" s="28"/>
      <c r="F1662" s="28"/>
      <c r="G1662" s="28"/>
      <c r="H1662" s="28"/>
    </row>
    <row r="1663" spans="4:8" s="25" customFormat="1" ht="11.25" customHeight="1">
      <c r="D1663" s="28"/>
      <c r="E1663" s="28"/>
      <c r="F1663" s="28"/>
      <c r="G1663" s="28"/>
      <c r="H1663" s="28"/>
    </row>
    <row r="1664" spans="4:8" s="25" customFormat="1" ht="11.25" customHeight="1">
      <c r="D1664" s="28"/>
      <c r="E1664" s="28"/>
      <c r="F1664" s="28"/>
      <c r="G1664" s="28"/>
      <c r="H1664" s="28"/>
    </row>
    <row r="1665" spans="4:8" s="25" customFormat="1" ht="11.25" customHeight="1">
      <c r="D1665" s="28"/>
      <c r="E1665" s="28"/>
      <c r="F1665" s="28"/>
      <c r="G1665" s="28"/>
      <c r="H1665" s="28"/>
    </row>
    <row r="1666" spans="4:8" s="25" customFormat="1" ht="11.25" customHeight="1">
      <c r="D1666" s="28"/>
      <c r="E1666" s="28"/>
      <c r="F1666" s="28"/>
      <c r="G1666" s="28"/>
      <c r="H1666" s="28"/>
    </row>
    <row r="1667" spans="4:8" s="25" customFormat="1" ht="11.25" customHeight="1">
      <c r="D1667" s="28"/>
      <c r="E1667" s="28"/>
      <c r="F1667" s="28"/>
      <c r="G1667" s="28"/>
      <c r="H1667" s="28"/>
    </row>
    <row r="1668" spans="4:8" s="25" customFormat="1" ht="11.25" customHeight="1">
      <c r="D1668" s="28"/>
      <c r="E1668" s="28"/>
      <c r="F1668" s="28"/>
      <c r="G1668" s="28"/>
      <c r="H1668" s="28"/>
    </row>
    <row r="1669" spans="4:8" s="25" customFormat="1" ht="11.25" customHeight="1">
      <c r="D1669" s="28"/>
      <c r="E1669" s="28"/>
      <c r="F1669" s="28"/>
      <c r="G1669" s="28"/>
      <c r="H1669" s="28"/>
    </row>
    <row r="1670" spans="4:8" s="25" customFormat="1" ht="11.25" customHeight="1">
      <c r="D1670" s="28"/>
      <c r="E1670" s="28"/>
      <c r="F1670" s="28"/>
      <c r="G1670" s="28"/>
      <c r="H1670" s="28"/>
    </row>
    <row r="1671" spans="4:8" s="25" customFormat="1" ht="11.25" customHeight="1">
      <c r="D1671" s="28"/>
      <c r="E1671" s="28"/>
      <c r="F1671" s="28"/>
      <c r="G1671" s="28"/>
      <c r="H1671" s="28"/>
    </row>
    <row r="1672" spans="4:8" s="25" customFormat="1" ht="11.25" customHeight="1">
      <c r="D1672" s="28"/>
      <c r="E1672" s="28"/>
      <c r="F1672" s="28"/>
      <c r="G1672" s="28"/>
      <c r="H1672" s="28"/>
    </row>
    <row r="1673" spans="4:8" s="25" customFormat="1" ht="11.25" customHeight="1">
      <c r="D1673" s="28"/>
      <c r="E1673" s="28"/>
      <c r="F1673" s="28"/>
      <c r="G1673" s="28"/>
      <c r="H1673" s="28"/>
    </row>
    <row r="1674" spans="4:8" s="25" customFormat="1" ht="11.25" customHeight="1">
      <c r="D1674" s="28"/>
      <c r="E1674" s="28"/>
      <c r="F1674" s="28"/>
      <c r="G1674" s="28"/>
      <c r="H1674" s="28"/>
    </row>
    <row r="1675" spans="4:8" s="25" customFormat="1" ht="11.25" customHeight="1">
      <c r="D1675" s="28"/>
      <c r="E1675" s="28"/>
      <c r="F1675" s="28"/>
      <c r="G1675" s="28"/>
      <c r="H1675" s="28"/>
    </row>
    <row r="1676" spans="4:8" s="25" customFormat="1" ht="11.25" customHeight="1">
      <c r="D1676" s="28"/>
      <c r="E1676" s="28"/>
      <c r="F1676" s="28"/>
      <c r="G1676" s="28"/>
      <c r="H1676" s="28"/>
    </row>
    <row r="1677" spans="4:8" s="25" customFormat="1" ht="11.25" customHeight="1">
      <c r="D1677" s="28"/>
      <c r="E1677" s="28"/>
      <c r="F1677" s="28"/>
      <c r="G1677" s="28"/>
      <c r="H1677" s="28"/>
    </row>
    <row r="1678" spans="4:8" s="25" customFormat="1" ht="11.25" customHeight="1">
      <c r="D1678" s="28"/>
      <c r="E1678" s="28"/>
      <c r="F1678" s="28"/>
      <c r="G1678" s="28"/>
      <c r="H1678" s="28"/>
    </row>
    <row r="1679" spans="4:8" s="25" customFormat="1" ht="11.25" customHeight="1">
      <c r="D1679" s="28"/>
      <c r="E1679" s="28"/>
      <c r="F1679" s="28"/>
      <c r="G1679" s="28"/>
      <c r="H1679" s="28"/>
    </row>
    <row r="1680" spans="4:8" s="25" customFormat="1" ht="11.25" customHeight="1">
      <c r="D1680" s="28"/>
      <c r="E1680" s="28"/>
      <c r="F1680" s="28"/>
      <c r="G1680" s="28"/>
      <c r="H1680" s="28"/>
    </row>
    <row r="1681" spans="4:8" s="25" customFormat="1" ht="11.25" customHeight="1">
      <c r="D1681" s="28"/>
      <c r="E1681" s="28"/>
      <c r="F1681" s="28"/>
      <c r="G1681" s="28"/>
      <c r="H1681" s="28"/>
    </row>
    <row r="1682" spans="4:8" s="25" customFormat="1" ht="11.25" customHeight="1">
      <c r="D1682" s="28"/>
      <c r="E1682" s="28"/>
      <c r="F1682" s="28"/>
      <c r="G1682" s="28"/>
      <c r="H1682" s="28"/>
    </row>
    <row r="1683" spans="4:8" s="25" customFormat="1" ht="11.25" customHeight="1">
      <c r="D1683" s="28"/>
      <c r="E1683" s="28"/>
      <c r="F1683" s="28"/>
      <c r="G1683" s="28"/>
      <c r="H1683" s="28"/>
    </row>
    <row r="1684" spans="4:8" s="25" customFormat="1" ht="11.25" customHeight="1">
      <c r="D1684" s="28"/>
      <c r="E1684" s="28"/>
      <c r="F1684" s="28"/>
      <c r="G1684" s="28"/>
      <c r="H1684" s="28"/>
    </row>
    <row r="1685" spans="4:8" s="25" customFormat="1" ht="11.25" customHeight="1">
      <c r="D1685" s="28"/>
      <c r="E1685" s="28"/>
      <c r="F1685" s="28"/>
      <c r="G1685" s="28"/>
      <c r="H1685" s="28"/>
    </row>
    <row r="1686" spans="4:8" s="25" customFormat="1" ht="11.25" customHeight="1">
      <c r="D1686" s="28"/>
      <c r="E1686" s="28"/>
      <c r="F1686" s="28"/>
      <c r="G1686" s="28"/>
      <c r="H1686" s="28"/>
    </row>
    <row r="1687" spans="4:8" s="25" customFormat="1" ht="11.25" customHeight="1">
      <c r="D1687" s="28"/>
      <c r="E1687" s="28"/>
      <c r="F1687" s="28"/>
      <c r="G1687" s="28"/>
      <c r="H1687" s="28"/>
    </row>
    <row r="1688" spans="4:8" s="25" customFormat="1" ht="11.25" customHeight="1">
      <c r="D1688" s="28"/>
      <c r="E1688" s="28"/>
      <c r="F1688" s="28"/>
      <c r="G1688" s="28"/>
      <c r="H1688" s="28"/>
    </row>
    <row r="1689" spans="4:8" s="25" customFormat="1" ht="11.25" customHeight="1">
      <c r="D1689" s="28"/>
      <c r="E1689" s="28"/>
      <c r="F1689" s="28"/>
      <c r="G1689" s="28"/>
      <c r="H1689" s="28"/>
    </row>
    <row r="1690" spans="4:8" s="25" customFormat="1" ht="11.25" customHeight="1">
      <c r="D1690" s="28"/>
      <c r="E1690" s="28"/>
      <c r="F1690" s="28"/>
      <c r="G1690" s="28"/>
      <c r="H1690" s="28"/>
    </row>
    <row r="1691" spans="4:8" s="25" customFormat="1" ht="11.25" customHeight="1">
      <c r="D1691" s="28"/>
      <c r="E1691" s="28"/>
      <c r="F1691" s="28"/>
      <c r="G1691" s="28"/>
      <c r="H1691" s="28"/>
    </row>
    <row r="1692" spans="4:8" s="25" customFormat="1" ht="11.25" customHeight="1">
      <c r="D1692" s="28"/>
      <c r="E1692" s="28"/>
      <c r="F1692" s="28"/>
      <c r="G1692" s="28"/>
      <c r="H1692" s="28"/>
    </row>
    <row r="1693" spans="4:8" s="25" customFormat="1" ht="11.25" customHeight="1">
      <c r="D1693" s="28"/>
      <c r="E1693" s="28"/>
      <c r="F1693" s="28"/>
      <c r="G1693" s="28"/>
      <c r="H1693" s="28"/>
    </row>
    <row r="1694" spans="4:8" s="25" customFormat="1" ht="11.25" customHeight="1">
      <c r="D1694" s="28"/>
      <c r="E1694" s="28"/>
      <c r="F1694" s="28"/>
      <c r="G1694" s="28"/>
      <c r="H1694" s="28"/>
    </row>
    <row r="1695" spans="4:8" s="25" customFormat="1" ht="11.25" customHeight="1">
      <c r="D1695" s="28"/>
      <c r="E1695" s="28"/>
      <c r="F1695" s="28"/>
      <c r="G1695" s="28"/>
      <c r="H1695" s="28"/>
    </row>
    <row r="1696" spans="4:8" s="25" customFormat="1" ht="11.25" customHeight="1">
      <c r="D1696" s="28"/>
      <c r="E1696" s="28"/>
      <c r="F1696" s="28"/>
      <c r="G1696" s="28"/>
      <c r="H1696" s="28"/>
    </row>
    <row r="1697" spans="4:8" s="25" customFormat="1" ht="11.25" customHeight="1">
      <c r="D1697" s="28"/>
      <c r="E1697" s="28"/>
      <c r="F1697" s="28"/>
      <c r="G1697" s="28"/>
      <c r="H1697" s="28"/>
    </row>
    <row r="1698" spans="4:8" s="25" customFormat="1" ht="11.25" customHeight="1">
      <c r="D1698" s="28"/>
      <c r="E1698" s="28"/>
      <c r="F1698" s="28"/>
      <c r="G1698" s="28"/>
      <c r="H1698" s="28"/>
    </row>
    <row r="1699" spans="4:8" s="25" customFormat="1" ht="11.25" customHeight="1">
      <c r="D1699" s="28"/>
      <c r="E1699" s="28"/>
      <c r="F1699" s="28"/>
      <c r="G1699" s="28"/>
      <c r="H1699" s="28"/>
    </row>
    <row r="1700" spans="4:8" s="25" customFormat="1" ht="11.25" customHeight="1">
      <c r="D1700" s="28"/>
      <c r="E1700" s="28"/>
      <c r="F1700" s="28"/>
      <c r="G1700" s="28"/>
      <c r="H1700" s="28"/>
    </row>
    <row r="1701" spans="4:8" s="25" customFormat="1" ht="11.25" customHeight="1">
      <c r="D1701" s="28"/>
      <c r="E1701" s="28"/>
      <c r="F1701" s="28"/>
      <c r="G1701" s="28"/>
      <c r="H1701" s="28"/>
    </row>
    <row r="1702" spans="4:8" s="25" customFormat="1" ht="11.25" customHeight="1">
      <c r="D1702" s="28"/>
      <c r="E1702" s="28"/>
      <c r="F1702" s="28"/>
      <c r="G1702" s="28"/>
      <c r="H1702" s="28"/>
    </row>
    <row r="1703" spans="4:8" s="25" customFormat="1" ht="11.25" customHeight="1">
      <c r="D1703" s="28"/>
      <c r="E1703" s="28"/>
      <c r="F1703" s="28"/>
      <c r="G1703" s="28"/>
      <c r="H1703" s="28"/>
    </row>
    <row r="1704" spans="4:8" s="25" customFormat="1" ht="11.25" customHeight="1">
      <c r="D1704" s="28"/>
      <c r="E1704" s="28"/>
      <c r="F1704" s="28"/>
      <c r="G1704" s="28"/>
      <c r="H1704" s="28"/>
    </row>
    <row r="1705" spans="4:8" s="25" customFormat="1" ht="11.25" customHeight="1">
      <c r="D1705" s="28"/>
      <c r="E1705" s="28"/>
      <c r="F1705" s="28"/>
      <c r="G1705" s="28"/>
      <c r="H1705" s="28"/>
    </row>
    <row r="1706" spans="4:8" s="25" customFormat="1" ht="11.25" customHeight="1">
      <c r="D1706" s="28"/>
      <c r="E1706" s="28"/>
      <c r="F1706" s="28"/>
      <c r="G1706" s="28"/>
      <c r="H1706" s="28"/>
    </row>
    <row r="1707" spans="4:8" s="25" customFormat="1" ht="11.25" customHeight="1">
      <c r="D1707" s="28"/>
      <c r="E1707" s="28"/>
      <c r="F1707" s="28"/>
      <c r="G1707" s="28"/>
      <c r="H1707" s="28"/>
    </row>
    <row r="1708" spans="4:8" s="25" customFormat="1" ht="11.25" customHeight="1">
      <c r="D1708" s="28"/>
      <c r="E1708" s="28"/>
      <c r="F1708" s="28"/>
      <c r="G1708" s="28"/>
      <c r="H1708" s="28"/>
    </row>
    <row r="1709" spans="4:8" s="25" customFormat="1" ht="11.25" customHeight="1">
      <c r="D1709" s="28"/>
      <c r="E1709" s="28"/>
      <c r="F1709" s="28"/>
      <c r="G1709" s="28"/>
      <c r="H1709" s="28"/>
    </row>
    <row r="1710" spans="4:8" s="25" customFormat="1" ht="11.25" customHeight="1">
      <c r="D1710" s="28"/>
      <c r="E1710" s="28"/>
      <c r="F1710" s="28"/>
      <c r="G1710" s="28"/>
      <c r="H1710" s="28"/>
    </row>
    <row r="1711" spans="4:8" s="25" customFormat="1" ht="11.25" customHeight="1">
      <c r="D1711" s="28"/>
      <c r="E1711" s="28"/>
      <c r="F1711" s="28"/>
      <c r="G1711" s="28"/>
      <c r="H1711" s="28"/>
    </row>
    <row r="1712" spans="4:8" s="25" customFormat="1" ht="11.25" customHeight="1">
      <c r="D1712" s="28"/>
      <c r="E1712" s="28"/>
      <c r="F1712" s="28"/>
      <c r="G1712" s="28"/>
      <c r="H1712" s="28"/>
    </row>
    <row r="1713" spans="4:8" s="25" customFormat="1" ht="11.25" customHeight="1">
      <c r="D1713" s="28"/>
      <c r="E1713" s="28"/>
      <c r="F1713" s="28"/>
      <c r="G1713" s="28"/>
      <c r="H1713" s="28"/>
    </row>
    <row r="1714" spans="4:8" s="25" customFormat="1" ht="11.25" customHeight="1">
      <c r="D1714" s="28"/>
      <c r="E1714" s="28"/>
      <c r="F1714" s="28"/>
      <c r="G1714" s="28"/>
      <c r="H1714" s="28"/>
    </row>
    <row r="1715" spans="4:8" s="25" customFormat="1" ht="11.25" customHeight="1">
      <c r="D1715" s="28"/>
      <c r="E1715" s="28"/>
      <c r="F1715" s="28"/>
      <c r="G1715" s="28"/>
      <c r="H1715" s="28"/>
    </row>
    <row r="1716" spans="4:8" s="25" customFormat="1" ht="11.25" customHeight="1">
      <c r="D1716" s="28"/>
      <c r="E1716" s="28"/>
      <c r="F1716" s="28"/>
      <c r="G1716" s="28"/>
      <c r="H1716" s="28"/>
    </row>
    <row r="1717" spans="4:8" s="25" customFormat="1" ht="11.25" customHeight="1">
      <c r="D1717" s="28"/>
      <c r="E1717" s="28"/>
      <c r="F1717" s="28"/>
      <c r="G1717" s="28"/>
      <c r="H1717" s="28"/>
    </row>
    <row r="1718" spans="4:8" s="25" customFormat="1" ht="11.25" customHeight="1">
      <c r="D1718" s="28"/>
      <c r="E1718" s="28"/>
      <c r="F1718" s="28"/>
      <c r="G1718" s="28"/>
      <c r="H1718" s="28"/>
    </row>
    <row r="1719" spans="4:8" s="25" customFormat="1" ht="11.25" customHeight="1">
      <c r="D1719" s="28"/>
      <c r="E1719" s="28"/>
      <c r="F1719" s="28"/>
      <c r="G1719" s="28"/>
      <c r="H1719" s="28"/>
    </row>
    <row r="1720" spans="4:8" s="25" customFormat="1" ht="11.25" customHeight="1">
      <c r="D1720" s="28"/>
      <c r="E1720" s="28"/>
      <c r="F1720" s="28"/>
      <c r="G1720" s="28"/>
      <c r="H1720" s="28"/>
    </row>
    <row r="1721" spans="4:8" s="25" customFormat="1" ht="11.25" customHeight="1">
      <c r="D1721" s="28"/>
      <c r="E1721" s="28"/>
      <c r="F1721" s="28"/>
      <c r="G1721" s="28"/>
      <c r="H1721" s="28"/>
    </row>
    <row r="1722" spans="4:8" s="25" customFormat="1" ht="11.25" customHeight="1">
      <c r="D1722" s="28"/>
      <c r="E1722" s="28"/>
      <c r="F1722" s="28"/>
      <c r="G1722" s="28"/>
      <c r="H1722" s="28"/>
    </row>
    <row r="1723" spans="4:8" s="25" customFormat="1" ht="11.25" customHeight="1">
      <c r="D1723" s="28"/>
      <c r="E1723" s="28"/>
      <c r="F1723" s="28"/>
      <c r="G1723" s="28"/>
      <c r="H1723" s="28"/>
    </row>
    <row r="1724" spans="4:8" s="25" customFormat="1" ht="11.25" customHeight="1">
      <c r="D1724" s="28"/>
      <c r="E1724" s="28"/>
      <c r="F1724" s="28"/>
      <c r="G1724" s="28"/>
      <c r="H1724" s="28"/>
    </row>
    <row r="1725" spans="4:8" s="25" customFormat="1" ht="11.25" customHeight="1">
      <c r="D1725" s="28"/>
      <c r="E1725" s="28"/>
      <c r="F1725" s="28"/>
      <c r="G1725" s="28"/>
      <c r="H1725" s="28"/>
    </row>
    <row r="1726" spans="4:8" s="25" customFormat="1" ht="11.25" customHeight="1">
      <c r="D1726" s="28"/>
      <c r="E1726" s="28"/>
      <c r="F1726" s="28"/>
      <c r="G1726" s="28"/>
      <c r="H1726" s="28"/>
    </row>
    <row r="1727" spans="4:8" s="25" customFormat="1" ht="11.25" customHeight="1">
      <c r="D1727" s="28"/>
      <c r="E1727" s="28"/>
      <c r="F1727" s="28"/>
      <c r="G1727" s="28"/>
      <c r="H1727" s="28"/>
    </row>
    <row r="1728" spans="4:8" s="25" customFormat="1" ht="11.25" customHeight="1">
      <c r="D1728" s="28"/>
      <c r="E1728" s="28"/>
      <c r="F1728" s="28"/>
      <c r="G1728" s="28"/>
      <c r="H1728" s="28"/>
    </row>
    <row r="1729" spans="4:8" s="25" customFormat="1" ht="11.25" customHeight="1">
      <c r="D1729" s="28"/>
      <c r="E1729" s="28"/>
      <c r="F1729" s="28"/>
      <c r="G1729" s="28"/>
      <c r="H1729" s="28"/>
    </row>
    <row r="1730" spans="4:8" s="25" customFormat="1" ht="11.25" customHeight="1">
      <c r="D1730" s="28"/>
      <c r="E1730" s="28"/>
      <c r="F1730" s="28"/>
      <c r="G1730" s="28"/>
      <c r="H1730" s="28"/>
    </row>
    <row r="1731" spans="4:8" s="25" customFormat="1" ht="11.25" customHeight="1">
      <c r="D1731" s="28"/>
      <c r="E1731" s="28"/>
      <c r="F1731" s="28"/>
      <c r="G1731" s="28"/>
      <c r="H1731" s="28"/>
    </row>
    <row r="1732" spans="4:8" s="25" customFormat="1" ht="11.25" customHeight="1">
      <c r="D1732" s="28"/>
      <c r="E1732" s="28"/>
      <c r="F1732" s="28"/>
      <c r="G1732" s="28"/>
      <c r="H1732" s="28"/>
    </row>
    <row r="1733" spans="4:8" s="25" customFormat="1" ht="11.25" customHeight="1">
      <c r="D1733" s="28"/>
      <c r="E1733" s="28"/>
      <c r="F1733" s="28"/>
      <c r="G1733" s="28"/>
      <c r="H1733" s="28"/>
    </row>
    <row r="1734" spans="4:8" s="25" customFormat="1" ht="11.25" customHeight="1">
      <c r="D1734" s="28"/>
      <c r="E1734" s="28"/>
      <c r="F1734" s="28"/>
      <c r="G1734" s="28"/>
      <c r="H1734" s="28"/>
    </row>
    <row r="1735" spans="4:8" s="25" customFormat="1" ht="11.25" customHeight="1">
      <c r="D1735" s="28"/>
      <c r="E1735" s="28"/>
      <c r="F1735" s="28"/>
      <c r="G1735" s="28"/>
      <c r="H1735" s="28"/>
    </row>
    <row r="1736" spans="4:8" s="25" customFormat="1" ht="11.25" customHeight="1">
      <c r="D1736" s="28"/>
      <c r="E1736" s="28"/>
      <c r="F1736" s="28"/>
      <c r="G1736" s="28"/>
      <c r="H1736" s="28"/>
    </row>
    <row r="1737" spans="4:8" s="25" customFormat="1" ht="11.25" customHeight="1">
      <c r="D1737" s="28"/>
      <c r="E1737" s="28"/>
      <c r="F1737" s="28"/>
      <c r="G1737" s="28"/>
      <c r="H1737" s="28"/>
    </row>
    <row r="1738" spans="4:8" s="25" customFormat="1" ht="11.25" customHeight="1">
      <c r="D1738" s="28"/>
      <c r="E1738" s="28"/>
      <c r="F1738" s="28"/>
      <c r="G1738" s="28"/>
      <c r="H1738" s="28"/>
    </row>
    <row r="1739" spans="4:8" s="25" customFormat="1" ht="11.25" customHeight="1">
      <c r="D1739" s="28"/>
      <c r="E1739" s="28"/>
      <c r="F1739" s="28"/>
      <c r="G1739" s="28"/>
      <c r="H1739" s="28"/>
    </row>
    <row r="1740" spans="4:8" s="25" customFormat="1" ht="11.25" customHeight="1">
      <c r="D1740" s="28"/>
      <c r="E1740" s="28"/>
      <c r="F1740" s="28"/>
      <c r="G1740" s="28"/>
      <c r="H1740" s="28"/>
    </row>
    <row r="1741" spans="4:8" s="25" customFormat="1" ht="11.25" customHeight="1">
      <c r="D1741" s="28"/>
      <c r="E1741" s="28"/>
      <c r="F1741" s="28"/>
      <c r="G1741" s="28"/>
      <c r="H1741" s="28"/>
    </row>
    <row r="1742" spans="4:8" s="25" customFormat="1" ht="11.25" customHeight="1">
      <c r="D1742" s="28"/>
      <c r="E1742" s="28"/>
      <c r="F1742" s="28"/>
      <c r="G1742" s="28"/>
      <c r="H1742" s="28"/>
    </row>
    <row r="1743" spans="4:8" s="25" customFormat="1" ht="11.25" customHeight="1">
      <c r="D1743" s="28"/>
      <c r="E1743" s="28"/>
      <c r="F1743" s="28"/>
      <c r="G1743" s="28"/>
      <c r="H1743" s="28"/>
    </row>
    <row r="1744" spans="4:8" s="25" customFormat="1" ht="11.25" customHeight="1">
      <c r="D1744" s="28"/>
      <c r="E1744" s="28"/>
      <c r="F1744" s="28"/>
      <c r="G1744" s="28"/>
      <c r="H1744" s="28"/>
    </row>
    <row r="1745" spans="4:8" s="25" customFormat="1" ht="11.25" customHeight="1">
      <c r="D1745" s="28"/>
      <c r="E1745" s="28"/>
      <c r="F1745" s="28"/>
      <c r="G1745" s="28"/>
      <c r="H1745" s="28"/>
    </row>
    <row r="1746" spans="4:8" s="25" customFormat="1" ht="11.25" customHeight="1">
      <c r="D1746" s="28"/>
      <c r="E1746" s="28"/>
      <c r="F1746" s="28"/>
      <c r="G1746" s="28"/>
      <c r="H1746" s="28"/>
    </row>
    <row r="1747" spans="4:8" s="25" customFormat="1" ht="11.25" customHeight="1">
      <c r="D1747" s="28"/>
      <c r="E1747" s="28"/>
      <c r="F1747" s="28"/>
      <c r="G1747" s="28"/>
      <c r="H1747" s="28"/>
    </row>
    <row r="1748" spans="4:8" s="25" customFormat="1" ht="11.25" customHeight="1">
      <c r="D1748" s="28"/>
      <c r="E1748" s="28"/>
      <c r="F1748" s="28"/>
      <c r="G1748" s="28"/>
      <c r="H1748" s="28"/>
    </row>
    <row r="1749" spans="4:8" s="25" customFormat="1" ht="11.25" customHeight="1">
      <c r="D1749" s="28"/>
      <c r="E1749" s="28"/>
      <c r="F1749" s="28"/>
      <c r="G1749" s="28"/>
      <c r="H1749" s="28"/>
    </row>
    <row r="1750" spans="4:8" s="25" customFormat="1" ht="11.25" customHeight="1">
      <c r="D1750" s="28"/>
      <c r="E1750" s="28"/>
      <c r="F1750" s="28"/>
      <c r="G1750" s="28"/>
      <c r="H1750" s="28"/>
    </row>
    <row r="1751" spans="4:8" s="25" customFormat="1" ht="11.25" customHeight="1">
      <c r="D1751" s="28"/>
      <c r="E1751" s="28"/>
      <c r="F1751" s="28"/>
      <c r="G1751" s="28"/>
      <c r="H1751" s="28"/>
    </row>
    <row r="1752" spans="4:8" s="25" customFormat="1" ht="11.25" customHeight="1">
      <c r="D1752" s="28"/>
      <c r="E1752" s="28"/>
      <c r="F1752" s="28"/>
      <c r="G1752" s="28"/>
      <c r="H1752" s="28"/>
    </row>
    <row r="1753" spans="4:8" s="25" customFormat="1" ht="11.25" customHeight="1">
      <c r="D1753" s="28"/>
      <c r="E1753" s="28"/>
      <c r="F1753" s="28"/>
      <c r="G1753" s="28"/>
      <c r="H1753" s="28"/>
    </row>
    <row r="1754" spans="4:8" s="25" customFormat="1" ht="11.25" customHeight="1">
      <c r="D1754" s="28"/>
      <c r="E1754" s="28"/>
      <c r="F1754" s="28"/>
      <c r="G1754" s="28"/>
      <c r="H1754" s="28"/>
    </row>
    <row r="1755" spans="4:8" s="25" customFormat="1" ht="11.25" customHeight="1">
      <c r="D1755" s="28"/>
      <c r="E1755" s="28"/>
      <c r="F1755" s="28"/>
      <c r="G1755" s="28"/>
      <c r="H1755" s="28"/>
    </row>
    <row r="1756" spans="4:8" s="25" customFormat="1" ht="11.25" customHeight="1">
      <c r="D1756" s="28"/>
      <c r="E1756" s="28"/>
      <c r="F1756" s="28"/>
      <c r="G1756" s="28"/>
      <c r="H1756" s="28"/>
    </row>
    <row r="1757" spans="4:8" s="25" customFormat="1" ht="11.25" customHeight="1">
      <c r="D1757" s="28"/>
      <c r="E1757" s="28"/>
      <c r="F1757" s="28"/>
      <c r="G1757" s="28"/>
      <c r="H1757" s="28"/>
    </row>
    <row r="1758" spans="4:8" s="25" customFormat="1" ht="11.25" customHeight="1">
      <c r="D1758" s="28"/>
      <c r="E1758" s="28"/>
      <c r="F1758" s="28"/>
      <c r="G1758" s="28"/>
      <c r="H1758" s="28"/>
    </row>
    <row r="1759" spans="4:8" s="25" customFormat="1" ht="11.25" customHeight="1">
      <c r="D1759" s="28"/>
      <c r="E1759" s="28"/>
      <c r="F1759" s="28"/>
      <c r="G1759" s="28"/>
      <c r="H1759" s="28"/>
    </row>
    <row r="1760" spans="4:8" s="25" customFormat="1" ht="11.25" customHeight="1">
      <c r="D1760" s="28"/>
      <c r="E1760" s="28"/>
      <c r="F1760" s="28"/>
      <c r="G1760" s="28"/>
      <c r="H1760" s="28"/>
    </row>
    <row r="1761" spans="4:8" s="25" customFormat="1" ht="11.25" customHeight="1">
      <c r="D1761" s="28"/>
      <c r="E1761" s="28"/>
      <c r="F1761" s="28"/>
      <c r="G1761" s="28"/>
      <c r="H1761" s="28"/>
    </row>
    <row r="1762" spans="4:8" s="25" customFormat="1" ht="11.25" customHeight="1">
      <c r="D1762" s="28"/>
      <c r="E1762" s="28"/>
      <c r="F1762" s="28"/>
      <c r="G1762" s="28"/>
      <c r="H1762" s="28"/>
    </row>
    <row r="1763" spans="4:8" s="25" customFormat="1" ht="11.25" customHeight="1">
      <c r="D1763" s="28"/>
      <c r="E1763" s="28"/>
      <c r="F1763" s="28"/>
      <c r="G1763" s="28"/>
      <c r="H1763" s="28"/>
    </row>
    <row r="1764" spans="4:8" s="25" customFormat="1" ht="11.25" customHeight="1">
      <c r="D1764" s="28"/>
      <c r="E1764" s="28"/>
      <c r="F1764" s="28"/>
      <c r="G1764" s="28"/>
      <c r="H1764" s="28"/>
    </row>
    <row r="1765" spans="4:8" s="25" customFormat="1" ht="11.25" customHeight="1">
      <c r="D1765" s="28"/>
      <c r="E1765" s="28"/>
      <c r="F1765" s="28"/>
      <c r="G1765" s="28"/>
      <c r="H1765" s="28"/>
    </row>
    <row r="1766" spans="4:8" s="25" customFormat="1" ht="11.25" customHeight="1">
      <c r="D1766" s="28"/>
      <c r="E1766" s="28"/>
      <c r="F1766" s="28"/>
      <c r="G1766" s="28"/>
      <c r="H1766" s="28"/>
    </row>
    <row r="1767" spans="4:8" s="25" customFormat="1" ht="11.25" customHeight="1">
      <c r="D1767" s="28"/>
      <c r="E1767" s="28"/>
      <c r="F1767" s="28"/>
      <c r="G1767" s="28"/>
      <c r="H1767" s="28"/>
    </row>
    <row r="1768" spans="4:8" s="25" customFormat="1" ht="11.25" customHeight="1">
      <c r="D1768" s="28"/>
      <c r="E1768" s="28"/>
      <c r="F1768" s="28"/>
      <c r="G1768" s="28"/>
      <c r="H1768" s="28"/>
    </row>
    <row r="1769" spans="4:8" s="25" customFormat="1" ht="11.25" customHeight="1">
      <c r="D1769" s="28"/>
      <c r="E1769" s="28"/>
      <c r="F1769" s="28"/>
      <c r="G1769" s="28"/>
      <c r="H1769" s="28"/>
    </row>
    <row r="1770" spans="4:8" s="25" customFormat="1" ht="11.25" customHeight="1">
      <c r="D1770" s="28"/>
      <c r="E1770" s="28"/>
      <c r="F1770" s="28"/>
      <c r="G1770" s="28"/>
      <c r="H1770" s="28"/>
    </row>
    <row r="1771" spans="4:8" s="25" customFormat="1" ht="11.25" customHeight="1">
      <c r="D1771" s="28"/>
      <c r="E1771" s="28"/>
      <c r="F1771" s="28"/>
      <c r="G1771" s="28"/>
      <c r="H1771" s="28"/>
    </row>
    <row r="1772" spans="4:8" s="25" customFormat="1" ht="11.25" customHeight="1">
      <c r="D1772" s="28"/>
      <c r="E1772" s="28"/>
      <c r="F1772" s="28"/>
      <c r="G1772" s="28"/>
      <c r="H1772" s="28"/>
    </row>
    <row r="1773" spans="4:8" s="25" customFormat="1" ht="11.25" customHeight="1">
      <c r="D1773" s="28"/>
      <c r="E1773" s="28"/>
      <c r="F1773" s="28"/>
      <c r="G1773" s="28"/>
      <c r="H1773" s="28"/>
    </row>
    <row r="1774" spans="4:8" s="25" customFormat="1" ht="11.25" customHeight="1">
      <c r="D1774" s="28"/>
      <c r="E1774" s="28"/>
      <c r="F1774" s="28"/>
      <c r="G1774" s="28"/>
      <c r="H1774" s="28"/>
    </row>
    <row r="1775" spans="4:8" s="25" customFormat="1" ht="11.25" customHeight="1">
      <c r="D1775" s="28"/>
      <c r="E1775" s="28"/>
      <c r="F1775" s="28"/>
      <c r="G1775" s="28"/>
      <c r="H1775" s="28"/>
    </row>
    <row r="1776" spans="4:8" s="25" customFormat="1" ht="11.25" customHeight="1">
      <c r="D1776" s="28"/>
      <c r="E1776" s="28"/>
      <c r="F1776" s="28"/>
      <c r="G1776" s="28"/>
      <c r="H1776" s="28"/>
    </row>
    <row r="1777" spans="4:8" s="25" customFormat="1" ht="11.25" customHeight="1">
      <c r="D1777" s="28"/>
      <c r="E1777" s="28"/>
      <c r="F1777" s="28"/>
      <c r="G1777" s="28"/>
      <c r="H1777" s="28"/>
    </row>
    <row r="1778" spans="4:8" s="25" customFormat="1" ht="11.25" customHeight="1">
      <c r="D1778" s="28"/>
      <c r="E1778" s="28"/>
      <c r="F1778" s="28"/>
      <c r="G1778" s="28"/>
      <c r="H1778" s="28"/>
    </row>
    <row r="1779" spans="4:8" s="25" customFormat="1" ht="11.25" customHeight="1">
      <c r="D1779" s="28"/>
      <c r="E1779" s="28"/>
      <c r="F1779" s="28"/>
      <c r="G1779" s="28"/>
      <c r="H1779" s="28"/>
    </row>
    <row r="1780" spans="4:8" s="25" customFormat="1" ht="11.25" customHeight="1">
      <c r="D1780" s="28"/>
      <c r="E1780" s="28"/>
      <c r="F1780" s="28"/>
      <c r="G1780" s="28"/>
      <c r="H1780" s="28"/>
    </row>
    <row r="1781" spans="4:8" s="25" customFormat="1" ht="11.25" customHeight="1">
      <c r="D1781" s="28"/>
      <c r="E1781" s="28"/>
      <c r="F1781" s="28"/>
      <c r="G1781" s="28"/>
      <c r="H1781" s="28"/>
    </row>
    <row r="1782" spans="4:8" s="25" customFormat="1" ht="11.25" customHeight="1">
      <c r="D1782" s="28"/>
      <c r="E1782" s="28"/>
      <c r="F1782" s="28"/>
      <c r="G1782" s="28"/>
      <c r="H1782" s="28"/>
    </row>
    <row r="1783" spans="4:8" s="25" customFormat="1" ht="11.25" customHeight="1">
      <c r="D1783" s="28"/>
      <c r="E1783" s="28"/>
      <c r="F1783" s="28"/>
      <c r="G1783" s="28"/>
      <c r="H1783" s="28"/>
    </row>
    <row r="1784" spans="4:8" s="25" customFormat="1" ht="11.25" customHeight="1">
      <c r="D1784" s="28"/>
      <c r="E1784" s="28"/>
      <c r="F1784" s="28"/>
      <c r="G1784" s="28"/>
      <c r="H1784" s="28"/>
    </row>
    <row r="1785" spans="4:8" s="25" customFormat="1" ht="11.25" customHeight="1">
      <c r="D1785" s="28"/>
      <c r="E1785" s="28"/>
      <c r="F1785" s="28"/>
      <c r="G1785" s="28"/>
      <c r="H1785" s="28"/>
    </row>
    <row r="1786" spans="4:8" s="25" customFormat="1" ht="11.25" customHeight="1">
      <c r="D1786" s="28"/>
      <c r="E1786" s="28"/>
      <c r="F1786" s="28"/>
      <c r="G1786" s="28"/>
      <c r="H1786" s="28"/>
    </row>
    <row r="1787" spans="4:8" s="25" customFormat="1" ht="11.25" customHeight="1">
      <c r="D1787" s="28"/>
      <c r="E1787" s="28"/>
      <c r="F1787" s="28"/>
      <c r="G1787" s="28"/>
      <c r="H1787" s="28"/>
    </row>
    <row r="1788" spans="4:8" s="25" customFormat="1" ht="11.25" customHeight="1">
      <c r="D1788" s="28"/>
      <c r="E1788" s="28"/>
      <c r="F1788" s="28"/>
      <c r="G1788" s="28"/>
      <c r="H1788" s="28"/>
    </row>
    <row r="1789" spans="4:8" s="25" customFormat="1" ht="11.25" customHeight="1">
      <c r="D1789" s="28"/>
      <c r="E1789" s="28"/>
      <c r="F1789" s="28"/>
      <c r="G1789" s="28"/>
      <c r="H1789" s="28"/>
    </row>
    <row r="1790" spans="4:8" s="25" customFormat="1" ht="11.25" customHeight="1">
      <c r="D1790" s="28"/>
      <c r="E1790" s="28"/>
      <c r="F1790" s="28"/>
      <c r="G1790" s="28"/>
      <c r="H1790" s="28"/>
    </row>
    <row r="1791" spans="4:8" s="25" customFormat="1" ht="11.25" customHeight="1">
      <c r="D1791" s="28"/>
      <c r="E1791" s="28"/>
      <c r="F1791" s="28"/>
      <c r="G1791" s="28"/>
      <c r="H1791" s="28"/>
    </row>
    <row r="1792" spans="4:8" s="25" customFormat="1" ht="11.25" customHeight="1">
      <c r="D1792" s="28"/>
      <c r="E1792" s="28"/>
      <c r="F1792" s="28"/>
      <c r="G1792" s="28"/>
      <c r="H1792" s="28"/>
    </row>
    <row r="1793" spans="4:8" s="25" customFormat="1" ht="11.25" customHeight="1">
      <c r="D1793" s="28"/>
      <c r="E1793" s="28"/>
      <c r="F1793" s="28"/>
      <c r="G1793" s="28"/>
      <c r="H1793" s="28"/>
    </row>
    <row r="1794" spans="4:8" s="25" customFormat="1" ht="11.25" customHeight="1">
      <c r="D1794" s="28"/>
      <c r="E1794" s="28"/>
      <c r="F1794" s="28"/>
      <c r="G1794" s="28"/>
      <c r="H1794" s="28"/>
    </row>
    <row r="1795" spans="4:8" s="25" customFormat="1" ht="11.25" customHeight="1">
      <c r="D1795" s="28"/>
      <c r="E1795" s="28"/>
      <c r="F1795" s="28"/>
      <c r="G1795" s="28"/>
      <c r="H1795" s="28"/>
    </row>
    <row r="1796" spans="4:8" s="25" customFormat="1" ht="11.25" customHeight="1">
      <c r="D1796" s="28"/>
      <c r="E1796" s="28"/>
      <c r="F1796" s="28"/>
      <c r="G1796" s="28"/>
      <c r="H1796" s="28"/>
    </row>
    <row r="1797" spans="4:8" s="25" customFormat="1" ht="11.25" customHeight="1">
      <c r="D1797" s="28"/>
      <c r="E1797" s="28"/>
      <c r="F1797" s="28"/>
      <c r="G1797" s="28"/>
      <c r="H1797" s="28"/>
    </row>
    <row r="1798" spans="4:8" s="25" customFormat="1" ht="11.25" customHeight="1">
      <c r="D1798" s="28"/>
      <c r="E1798" s="28"/>
      <c r="F1798" s="28"/>
      <c r="G1798" s="28"/>
      <c r="H1798" s="28"/>
    </row>
    <row r="1799" spans="4:8" s="25" customFormat="1" ht="11.25" customHeight="1">
      <c r="D1799" s="28"/>
      <c r="E1799" s="28"/>
      <c r="F1799" s="28"/>
      <c r="G1799" s="28"/>
      <c r="H1799" s="28"/>
    </row>
    <row r="1800" spans="4:8" s="25" customFormat="1" ht="11.25" customHeight="1">
      <c r="D1800" s="28"/>
      <c r="E1800" s="28"/>
      <c r="F1800" s="28"/>
      <c r="G1800" s="28"/>
      <c r="H1800" s="28"/>
    </row>
    <row r="1801" spans="4:8" s="25" customFormat="1" ht="11.25" customHeight="1">
      <c r="D1801" s="28"/>
      <c r="E1801" s="28"/>
      <c r="F1801" s="28"/>
      <c r="G1801" s="28"/>
      <c r="H1801" s="28"/>
    </row>
    <row r="1802" spans="4:8" s="25" customFormat="1" ht="11.25" customHeight="1">
      <c r="D1802" s="28"/>
      <c r="E1802" s="28"/>
      <c r="F1802" s="28"/>
      <c r="G1802" s="28"/>
      <c r="H1802" s="28"/>
    </row>
    <row r="1803" spans="4:8" s="25" customFormat="1" ht="11.25" customHeight="1">
      <c r="D1803" s="28"/>
      <c r="E1803" s="28"/>
      <c r="F1803" s="28"/>
      <c r="G1803" s="28"/>
      <c r="H1803" s="28"/>
    </row>
    <row r="1804" spans="4:8" s="25" customFormat="1" ht="11.25" customHeight="1">
      <c r="D1804" s="28"/>
      <c r="E1804" s="28"/>
      <c r="F1804" s="28"/>
      <c r="G1804" s="28"/>
      <c r="H1804" s="28"/>
    </row>
    <row r="1805" spans="4:8" s="25" customFormat="1" ht="11.25" customHeight="1">
      <c r="D1805" s="28"/>
      <c r="E1805" s="28"/>
      <c r="F1805" s="28"/>
      <c r="G1805" s="28"/>
      <c r="H1805" s="28"/>
    </row>
    <row r="1806" spans="4:8" s="25" customFormat="1" ht="11.25" customHeight="1">
      <c r="D1806" s="28"/>
      <c r="E1806" s="28"/>
      <c r="F1806" s="28"/>
      <c r="G1806" s="28"/>
      <c r="H1806" s="28"/>
    </row>
    <row r="1807" spans="4:8" s="25" customFormat="1" ht="11.25" customHeight="1">
      <c r="D1807" s="28"/>
      <c r="E1807" s="28"/>
      <c r="F1807" s="28"/>
      <c r="G1807" s="28"/>
      <c r="H1807" s="28"/>
    </row>
    <row r="1808" spans="4:8" s="25" customFormat="1" ht="11.25" customHeight="1">
      <c r="D1808" s="28"/>
      <c r="E1808" s="28"/>
      <c r="F1808" s="28"/>
      <c r="G1808" s="28"/>
      <c r="H1808" s="28"/>
    </row>
    <row r="1809" spans="4:8" s="25" customFormat="1" ht="11.25" customHeight="1">
      <c r="D1809" s="28"/>
      <c r="E1809" s="28"/>
      <c r="F1809" s="28"/>
      <c r="G1809" s="28"/>
      <c r="H1809" s="28"/>
    </row>
    <row r="1810" spans="4:8" s="25" customFormat="1" ht="11.25" customHeight="1">
      <c r="D1810" s="28"/>
      <c r="E1810" s="28"/>
      <c r="F1810" s="28"/>
      <c r="G1810" s="28"/>
      <c r="H1810" s="28"/>
    </row>
    <row r="1811" spans="4:8" s="25" customFormat="1" ht="11.25" customHeight="1">
      <c r="D1811" s="28"/>
      <c r="E1811" s="28"/>
      <c r="F1811" s="28"/>
      <c r="G1811" s="28"/>
      <c r="H1811" s="28"/>
    </row>
    <row r="1812" spans="4:8" s="25" customFormat="1" ht="11.25" customHeight="1">
      <c r="D1812" s="28"/>
      <c r="E1812" s="28"/>
      <c r="F1812" s="28"/>
      <c r="G1812" s="28"/>
      <c r="H1812" s="28"/>
    </row>
    <row r="1813" spans="4:8" s="25" customFormat="1" ht="11.25" customHeight="1">
      <c r="D1813" s="28"/>
      <c r="E1813" s="28"/>
      <c r="F1813" s="28"/>
      <c r="G1813" s="28"/>
      <c r="H1813" s="28"/>
    </row>
    <row r="1814" spans="4:8" s="25" customFormat="1" ht="11.25" customHeight="1">
      <c r="D1814" s="28"/>
      <c r="E1814" s="28"/>
      <c r="F1814" s="28"/>
      <c r="G1814" s="28"/>
      <c r="H1814" s="28"/>
    </row>
    <row r="1815" spans="4:8" s="25" customFormat="1" ht="11.25" customHeight="1">
      <c r="D1815" s="28"/>
      <c r="E1815" s="28"/>
      <c r="F1815" s="28"/>
      <c r="G1815" s="28"/>
      <c r="H1815" s="28"/>
    </row>
    <row r="1816" spans="4:8" s="25" customFormat="1" ht="11.25" customHeight="1">
      <c r="D1816" s="28"/>
      <c r="E1816" s="28"/>
      <c r="F1816" s="28"/>
      <c r="G1816" s="28"/>
      <c r="H1816" s="28"/>
    </row>
    <row r="1817" spans="4:8" s="25" customFormat="1" ht="11.25" customHeight="1">
      <c r="D1817" s="28"/>
      <c r="E1817" s="28"/>
      <c r="F1817" s="28"/>
      <c r="G1817" s="28"/>
      <c r="H1817" s="28"/>
    </row>
    <row r="1818" spans="4:8" s="25" customFormat="1" ht="11.25" customHeight="1">
      <c r="D1818" s="28"/>
      <c r="E1818" s="28"/>
      <c r="F1818" s="28"/>
      <c r="G1818" s="28"/>
      <c r="H1818" s="28"/>
    </row>
    <row r="1819" spans="4:8" s="25" customFormat="1" ht="11.25" customHeight="1">
      <c r="D1819" s="28"/>
      <c r="E1819" s="28"/>
      <c r="F1819" s="28"/>
      <c r="G1819" s="28"/>
      <c r="H1819" s="28"/>
    </row>
    <row r="1820" spans="4:8" s="25" customFormat="1" ht="11.25" customHeight="1">
      <c r="D1820" s="28"/>
      <c r="E1820" s="28"/>
      <c r="F1820" s="28"/>
      <c r="G1820" s="28"/>
      <c r="H1820" s="28"/>
    </row>
    <row r="1821" spans="4:8" s="25" customFormat="1" ht="11.25" customHeight="1">
      <c r="D1821" s="28"/>
      <c r="E1821" s="28"/>
      <c r="F1821" s="28"/>
      <c r="G1821" s="28"/>
      <c r="H1821" s="28"/>
    </row>
    <row r="1822" spans="4:8" s="25" customFormat="1" ht="11.25" customHeight="1">
      <c r="D1822" s="28"/>
      <c r="E1822" s="28"/>
      <c r="F1822" s="28"/>
      <c r="G1822" s="28"/>
      <c r="H1822" s="28"/>
    </row>
    <row r="1823" spans="4:8" s="25" customFormat="1" ht="11.25" customHeight="1">
      <c r="D1823" s="28"/>
      <c r="E1823" s="28"/>
      <c r="F1823" s="28"/>
      <c r="G1823" s="28"/>
      <c r="H1823" s="28"/>
    </row>
    <row r="1824" spans="4:8" s="25" customFormat="1" ht="11.25" customHeight="1">
      <c r="D1824" s="28"/>
      <c r="E1824" s="28"/>
      <c r="F1824" s="28"/>
      <c r="G1824" s="28"/>
      <c r="H1824" s="28"/>
    </row>
    <row r="1825" spans="4:8" s="25" customFormat="1" ht="11.25" customHeight="1">
      <c r="D1825" s="28"/>
      <c r="E1825" s="28"/>
      <c r="F1825" s="28"/>
      <c r="G1825" s="28"/>
      <c r="H1825" s="28"/>
    </row>
    <row r="1826" spans="4:8" s="25" customFormat="1" ht="11.25" customHeight="1">
      <c r="D1826" s="28"/>
      <c r="E1826" s="28"/>
      <c r="F1826" s="28"/>
      <c r="G1826" s="28"/>
      <c r="H1826" s="28"/>
    </row>
    <row r="1827" spans="4:8" s="25" customFormat="1" ht="11.25" customHeight="1">
      <c r="D1827" s="28"/>
      <c r="E1827" s="28"/>
      <c r="F1827" s="28"/>
      <c r="G1827" s="28"/>
      <c r="H1827" s="28"/>
    </row>
    <row r="1828" spans="4:8" s="25" customFormat="1" ht="11.25" customHeight="1">
      <c r="D1828" s="28"/>
      <c r="E1828" s="28"/>
      <c r="F1828" s="28"/>
      <c r="G1828" s="28"/>
      <c r="H1828" s="28"/>
    </row>
    <row r="1829" spans="4:8" s="25" customFormat="1" ht="11.25" customHeight="1">
      <c r="D1829" s="28"/>
      <c r="E1829" s="28"/>
      <c r="F1829" s="28"/>
      <c r="G1829" s="28"/>
      <c r="H1829" s="28"/>
    </row>
    <row r="1830" spans="4:8" s="25" customFormat="1" ht="11.25" customHeight="1">
      <c r="D1830" s="28"/>
      <c r="E1830" s="28"/>
      <c r="F1830" s="28"/>
      <c r="G1830" s="28"/>
      <c r="H1830" s="28"/>
    </row>
    <row r="1831" spans="4:8" s="25" customFormat="1" ht="11.25" customHeight="1">
      <c r="D1831" s="28"/>
      <c r="E1831" s="28"/>
      <c r="F1831" s="28"/>
      <c r="G1831" s="28"/>
      <c r="H1831" s="28"/>
    </row>
    <row r="1832" spans="4:8" s="25" customFormat="1" ht="11.25" customHeight="1">
      <c r="D1832" s="28"/>
      <c r="E1832" s="28"/>
      <c r="F1832" s="28"/>
      <c r="G1832" s="28"/>
      <c r="H1832" s="28"/>
    </row>
    <row r="1833" spans="4:8" s="25" customFormat="1" ht="11.25" customHeight="1">
      <c r="D1833" s="28"/>
      <c r="E1833" s="28"/>
      <c r="F1833" s="28"/>
      <c r="G1833" s="28"/>
      <c r="H1833" s="28"/>
    </row>
    <row r="1834" spans="4:8" s="25" customFormat="1" ht="11.25" customHeight="1">
      <c r="D1834" s="28"/>
      <c r="E1834" s="28"/>
      <c r="F1834" s="28"/>
      <c r="G1834" s="28"/>
      <c r="H1834" s="28"/>
    </row>
    <row r="1835" spans="4:8" s="25" customFormat="1" ht="11.25" customHeight="1">
      <c r="D1835" s="28"/>
      <c r="E1835" s="28"/>
      <c r="F1835" s="28"/>
      <c r="G1835" s="28"/>
      <c r="H1835" s="28"/>
    </row>
    <row r="1836" spans="4:8" s="25" customFormat="1" ht="11.25" customHeight="1">
      <c r="D1836" s="28"/>
      <c r="E1836" s="28"/>
      <c r="F1836" s="28"/>
      <c r="G1836" s="28"/>
      <c r="H1836" s="28"/>
    </row>
    <row r="1837" spans="4:8" s="25" customFormat="1" ht="11.25" customHeight="1">
      <c r="D1837" s="28"/>
      <c r="E1837" s="28"/>
      <c r="F1837" s="28"/>
      <c r="G1837" s="28"/>
      <c r="H1837" s="28"/>
    </row>
    <row r="1838" spans="4:8" s="25" customFormat="1" ht="11.25" customHeight="1">
      <c r="D1838" s="28"/>
      <c r="E1838" s="28"/>
      <c r="F1838" s="28"/>
      <c r="G1838" s="28"/>
      <c r="H1838" s="28"/>
    </row>
    <row r="1839" spans="4:8" s="25" customFormat="1" ht="11.25" customHeight="1">
      <c r="D1839" s="28"/>
      <c r="E1839" s="28"/>
      <c r="F1839" s="28"/>
      <c r="G1839" s="28"/>
      <c r="H1839" s="28"/>
    </row>
    <row r="1840" spans="4:8" s="25" customFormat="1" ht="11.25" customHeight="1">
      <c r="D1840" s="28"/>
      <c r="E1840" s="28"/>
      <c r="F1840" s="28"/>
      <c r="G1840" s="28"/>
      <c r="H1840" s="28"/>
    </row>
    <row r="1841" spans="4:8" s="25" customFormat="1" ht="11.25" customHeight="1">
      <c r="D1841" s="28"/>
      <c r="E1841" s="28"/>
      <c r="F1841" s="28"/>
      <c r="G1841" s="28"/>
      <c r="H1841" s="28"/>
    </row>
    <row r="1842" spans="4:8" s="25" customFormat="1" ht="11.25" customHeight="1">
      <c r="D1842" s="28"/>
      <c r="E1842" s="28"/>
      <c r="F1842" s="28"/>
      <c r="G1842" s="28"/>
      <c r="H1842" s="28"/>
    </row>
    <row r="1843" spans="4:8" s="25" customFormat="1" ht="11.25" customHeight="1">
      <c r="D1843" s="28"/>
      <c r="E1843" s="28"/>
      <c r="F1843" s="28"/>
      <c r="G1843" s="28"/>
      <c r="H1843" s="28"/>
    </row>
    <row r="1844" spans="4:8" s="25" customFormat="1" ht="11.25" customHeight="1">
      <c r="D1844" s="28"/>
      <c r="E1844" s="28"/>
      <c r="F1844" s="28"/>
      <c r="G1844" s="28"/>
      <c r="H1844" s="28"/>
    </row>
    <row r="1845" spans="4:8" s="25" customFormat="1" ht="11.25" customHeight="1">
      <c r="D1845" s="28"/>
      <c r="E1845" s="28"/>
      <c r="F1845" s="28"/>
      <c r="G1845" s="28"/>
      <c r="H1845" s="28"/>
    </row>
    <row r="1846" spans="4:8" s="25" customFormat="1" ht="11.25" customHeight="1">
      <c r="D1846" s="28"/>
      <c r="E1846" s="28"/>
      <c r="F1846" s="28"/>
      <c r="G1846" s="28"/>
      <c r="H1846" s="28"/>
    </row>
    <row r="1847" spans="4:8" s="25" customFormat="1" ht="11.25" customHeight="1">
      <c r="D1847" s="28"/>
      <c r="E1847" s="28"/>
      <c r="F1847" s="28"/>
      <c r="G1847" s="28"/>
      <c r="H1847" s="28"/>
    </row>
    <row r="1848" spans="4:8" s="25" customFormat="1" ht="11.25" customHeight="1">
      <c r="D1848" s="28"/>
      <c r="E1848" s="28"/>
      <c r="F1848" s="28"/>
      <c r="G1848" s="28"/>
      <c r="H1848" s="28"/>
    </row>
    <row r="1849" spans="4:8" s="25" customFormat="1" ht="11.25" customHeight="1">
      <c r="D1849" s="28"/>
      <c r="E1849" s="28"/>
      <c r="F1849" s="28"/>
      <c r="G1849" s="28"/>
      <c r="H1849" s="28"/>
    </row>
    <row r="1850" spans="4:8" s="25" customFormat="1" ht="11.25" customHeight="1">
      <c r="D1850" s="28"/>
      <c r="E1850" s="28"/>
      <c r="F1850" s="28"/>
      <c r="G1850" s="28"/>
      <c r="H1850" s="28"/>
    </row>
    <row r="1851" spans="4:8" s="25" customFormat="1" ht="11.25" customHeight="1">
      <c r="D1851" s="28"/>
      <c r="E1851" s="28"/>
      <c r="F1851" s="28"/>
      <c r="G1851" s="28"/>
      <c r="H1851" s="28"/>
    </row>
    <row r="1852" spans="4:8" s="25" customFormat="1" ht="11.25" customHeight="1">
      <c r="D1852" s="28"/>
      <c r="E1852" s="28"/>
      <c r="F1852" s="28"/>
      <c r="G1852" s="28"/>
      <c r="H1852" s="28"/>
    </row>
    <row r="1853" spans="4:8" s="25" customFormat="1" ht="11.25" customHeight="1">
      <c r="D1853" s="28"/>
      <c r="E1853" s="28"/>
      <c r="F1853" s="28"/>
      <c r="G1853" s="28"/>
      <c r="H1853" s="28"/>
    </row>
    <row r="1854" spans="4:8" s="25" customFormat="1" ht="11.25" customHeight="1">
      <c r="D1854" s="28"/>
      <c r="E1854" s="28"/>
      <c r="F1854" s="28"/>
      <c r="G1854" s="28"/>
      <c r="H1854" s="28"/>
    </row>
    <row r="1855" spans="4:8" s="25" customFormat="1" ht="11.25" customHeight="1">
      <c r="D1855" s="28"/>
      <c r="E1855" s="28"/>
      <c r="F1855" s="28"/>
      <c r="G1855" s="28"/>
      <c r="H1855" s="28"/>
    </row>
    <row r="1856" spans="4:8" s="25" customFormat="1" ht="11.25" customHeight="1">
      <c r="D1856" s="28"/>
      <c r="E1856" s="28"/>
      <c r="F1856" s="28"/>
      <c r="G1856" s="28"/>
      <c r="H1856" s="28"/>
    </row>
    <row r="1857" spans="4:8" s="25" customFormat="1" ht="11.25" customHeight="1">
      <c r="D1857" s="28"/>
      <c r="E1857" s="28"/>
      <c r="F1857" s="28"/>
      <c r="G1857" s="28"/>
      <c r="H1857" s="28"/>
    </row>
    <row r="1858" spans="4:8" s="25" customFormat="1" ht="11.25" customHeight="1">
      <c r="D1858" s="28"/>
      <c r="E1858" s="28"/>
      <c r="F1858" s="28"/>
      <c r="G1858" s="28"/>
      <c r="H1858" s="28"/>
    </row>
    <row r="1859" spans="4:8" s="25" customFormat="1" ht="11.25" customHeight="1">
      <c r="D1859" s="28"/>
      <c r="E1859" s="28"/>
      <c r="F1859" s="28"/>
      <c r="G1859" s="28"/>
      <c r="H1859" s="28"/>
    </row>
    <row r="1860" spans="4:8" s="25" customFormat="1" ht="11.25" customHeight="1">
      <c r="D1860" s="28"/>
      <c r="E1860" s="28"/>
      <c r="F1860" s="28"/>
      <c r="G1860" s="28"/>
      <c r="H1860" s="28"/>
    </row>
    <row r="1861" spans="4:8" s="25" customFormat="1" ht="11.25" customHeight="1">
      <c r="D1861" s="28"/>
      <c r="E1861" s="28"/>
      <c r="F1861" s="28"/>
      <c r="G1861" s="28"/>
      <c r="H1861" s="28"/>
    </row>
    <row r="1862" spans="4:8" s="25" customFormat="1" ht="11.25" customHeight="1">
      <c r="D1862" s="28"/>
      <c r="E1862" s="28"/>
      <c r="F1862" s="28"/>
      <c r="G1862" s="28"/>
      <c r="H1862" s="28"/>
    </row>
    <row r="1863" spans="4:8" s="25" customFormat="1" ht="11.25" customHeight="1">
      <c r="D1863" s="28"/>
      <c r="E1863" s="28"/>
      <c r="F1863" s="28"/>
      <c r="G1863" s="28"/>
      <c r="H1863" s="28"/>
    </row>
    <row r="1864" spans="4:8" s="25" customFormat="1" ht="11.25" customHeight="1">
      <c r="D1864" s="28"/>
      <c r="E1864" s="28"/>
      <c r="F1864" s="28"/>
      <c r="G1864" s="28"/>
      <c r="H1864" s="28"/>
    </row>
    <row r="1865" spans="4:8" s="25" customFormat="1" ht="11.25" customHeight="1">
      <c r="D1865" s="28"/>
      <c r="E1865" s="28"/>
      <c r="F1865" s="28"/>
      <c r="G1865" s="28"/>
      <c r="H1865" s="28"/>
    </row>
    <row r="1866" spans="4:8" s="25" customFormat="1" ht="11.25" customHeight="1">
      <c r="D1866" s="28"/>
      <c r="E1866" s="28"/>
      <c r="F1866" s="28"/>
      <c r="G1866" s="28"/>
      <c r="H1866" s="28"/>
    </row>
    <row r="1867" spans="4:8" s="25" customFormat="1" ht="11.25" customHeight="1">
      <c r="D1867" s="28"/>
      <c r="E1867" s="28"/>
      <c r="F1867" s="28"/>
      <c r="G1867" s="28"/>
      <c r="H1867" s="28"/>
    </row>
    <row r="1868" spans="4:8" s="25" customFormat="1" ht="11.25" customHeight="1">
      <c r="D1868" s="28"/>
      <c r="E1868" s="28"/>
      <c r="F1868" s="28"/>
      <c r="G1868" s="28"/>
      <c r="H1868" s="28"/>
    </row>
    <row r="1869" spans="4:8" s="25" customFormat="1" ht="11.25" customHeight="1">
      <c r="D1869" s="28"/>
      <c r="E1869" s="28"/>
      <c r="F1869" s="28"/>
      <c r="G1869" s="28"/>
      <c r="H1869" s="28"/>
    </row>
    <row r="1870" spans="4:8" s="25" customFormat="1" ht="11.25" customHeight="1">
      <c r="D1870" s="28"/>
      <c r="E1870" s="28"/>
      <c r="F1870" s="28"/>
      <c r="G1870" s="28"/>
      <c r="H1870" s="28"/>
    </row>
    <row r="1871" spans="4:8" s="25" customFormat="1" ht="11.25" customHeight="1">
      <c r="D1871" s="28"/>
      <c r="E1871" s="28"/>
      <c r="F1871" s="28"/>
      <c r="G1871" s="28"/>
      <c r="H1871" s="28"/>
    </row>
    <row r="1872" spans="4:8" s="25" customFormat="1" ht="11.25" customHeight="1">
      <c r="D1872" s="28"/>
      <c r="E1872" s="28"/>
      <c r="F1872" s="28"/>
      <c r="G1872" s="28"/>
      <c r="H1872" s="28"/>
    </row>
    <row r="1873" spans="4:8" s="25" customFormat="1" ht="11.25" customHeight="1">
      <c r="D1873" s="28"/>
      <c r="E1873" s="28"/>
      <c r="F1873" s="28"/>
      <c r="G1873" s="28"/>
      <c r="H1873" s="28"/>
    </row>
    <row r="1874" spans="4:8" s="25" customFormat="1" ht="11.25" customHeight="1">
      <c r="D1874" s="28"/>
      <c r="E1874" s="28"/>
      <c r="F1874" s="28"/>
      <c r="G1874" s="28"/>
      <c r="H1874" s="28"/>
    </row>
    <row r="1875" spans="4:8" s="25" customFormat="1" ht="11.25" customHeight="1">
      <c r="D1875" s="28"/>
      <c r="E1875" s="28"/>
      <c r="F1875" s="28"/>
      <c r="G1875" s="28"/>
      <c r="H1875" s="28"/>
    </row>
    <row r="1876" spans="4:8" s="25" customFormat="1" ht="11.25" customHeight="1">
      <c r="D1876" s="28"/>
      <c r="E1876" s="28"/>
      <c r="F1876" s="28"/>
      <c r="G1876" s="28"/>
      <c r="H1876" s="28"/>
    </row>
    <row r="1877" spans="4:8" s="25" customFormat="1" ht="11.25" customHeight="1">
      <c r="D1877" s="28"/>
      <c r="E1877" s="28"/>
      <c r="F1877" s="28"/>
      <c r="G1877" s="28"/>
      <c r="H1877" s="28"/>
    </row>
    <row r="1878" spans="4:8" s="25" customFormat="1" ht="11.25" customHeight="1">
      <c r="D1878" s="28"/>
      <c r="E1878" s="28"/>
      <c r="F1878" s="28"/>
      <c r="G1878" s="28"/>
      <c r="H1878" s="28"/>
    </row>
    <row r="1879" spans="4:8" s="25" customFormat="1" ht="11.25" customHeight="1">
      <c r="D1879" s="28"/>
      <c r="E1879" s="28"/>
      <c r="F1879" s="28"/>
      <c r="G1879" s="28"/>
      <c r="H1879" s="28"/>
    </row>
    <row r="1880" spans="4:8" s="25" customFormat="1" ht="11.25" customHeight="1">
      <c r="D1880" s="28"/>
      <c r="E1880" s="28"/>
      <c r="F1880" s="28"/>
      <c r="G1880" s="28"/>
      <c r="H1880" s="28"/>
    </row>
    <row r="1881" spans="4:8" s="25" customFormat="1" ht="11.25" customHeight="1">
      <c r="D1881" s="28"/>
      <c r="E1881" s="28"/>
      <c r="F1881" s="28"/>
      <c r="G1881" s="28"/>
      <c r="H1881" s="28"/>
    </row>
    <row r="1882" spans="4:8" s="25" customFormat="1" ht="11.25" customHeight="1">
      <c r="D1882" s="28"/>
      <c r="E1882" s="28"/>
      <c r="F1882" s="28"/>
      <c r="G1882" s="28"/>
      <c r="H1882" s="28"/>
    </row>
    <row r="1883" spans="4:8" s="25" customFormat="1" ht="11.25" customHeight="1">
      <c r="D1883" s="28"/>
      <c r="E1883" s="28"/>
      <c r="F1883" s="28"/>
      <c r="G1883" s="28"/>
      <c r="H1883" s="28"/>
    </row>
    <row r="1884" spans="4:8" s="25" customFormat="1" ht="11.25" customHeight="1">
      <c r="D1884" s="28"/>
      <c r="E1884" s="28"/>
      <c r="F1884" s="28"/>
      <c r="G1884" s="28"/>
      <c r="H1884" s="28"/>
    </row>
    <row r="1885" spans="4:8" s="25" customFormat="1" ht="11.25" customHeight="1">
      <c r="D1885" s="28"/>
      <c r="E1885" s="28"/>
      <c r="F1885" s="28"/>
      <c r="G1885" s="28"/>
      <c r="H1885" s="28"/>
    </row>
    <row r="1886" spans="4:8" s="25" customFormat="1" ht="11.25" customHeight="1">
      <c r="D1886" s="28"/>
      <c r="E1886" s="28"/>
      <c r="F1886" s="28"/>
      <c r="G1886" s="28"/>
      <c r="H1886" s="28"/>
    </row>
    <row r="1887" spans="4:8" s="25" customFormat="1" ht="11.25" customHeight="1">
      <c r="D1887" s="28"/>
      <c r="E1887" s="28"/>
      <c r="F1887" s="28"/>
      <c r="G1887" s="28"/>
      <c r="H1887" s="28"/>
    </row>
    <row r="1888" spans="4:8" s="25" customFormat="1" ht="11.25" customHeight="1">
      <c r="D1888" s="28"/>
      <c r="E1888" s="28"/>
      <c r="F1888" s="28"/>
      <c r="G1888" s="28"/>
      <c r="H1888" s="28"/>
    </row>
    <row r="1889" spans="4:8" s="25" customFormat="1" ht="11.25" customHeight="1">
      <c r="D1889" s="28"/>
      <c r="E1889" s="28"/>
      <c r="F1889" s="28"/>
      <c r="G1889" s="28"/>
      <c r="H1889" s="28"/>
    </row>
    <row r="1890" spans="4:8" s="25" customFormat="1" ht="11.25" customHeight="1">
      <c r="D1890" s="28"/>
      <c r="E1890" s="28"/>
      <c r="F1890" s="28"/>
      <c r="G1890" s="28"/>
      <c r="H1890" s="28"/>
    </row>
    <row r="1891" spans="4:8" s="25" customFormat="1" ht="11.25" customHeight="1">
      <c r="D1891" s="28"/>
      <c r="E1891" s="28"/>
      <c r="F1891" s="28"/>
      <c r="G1891" s="28"/>
      <c r="H1891" s="28"/>
    </row>
    <row r="1892" spans="4:8" s="25" customFormat="1" ht="11.25" customHeight="1">
      <c r="D1892" s="28"/>
      <c r="E1892" s="28"/>
      <c r="F1892" s="28"/>
      <c r="G1892" s="28"/>
      <c r="H1892" s="28"/>
    </row>
    <row r="1893" spans="4:8" s="25" customFormat="1" ht="11.25" customHeight="1">
      <c r="D1893" s="28"/>
      <c r="E1893" s="28"/>
      <c r="F1893" s="28"/>
      <c r="G1893" s="28"/>
      <c r="H1893" s="28"/>
    </row>
    <row r="1894" spans="4:8" s="25" customFormat="1" ht="11.25" customHeight="1">
      <c r="D1894" s="28"/>
      <c r="E1894" s="28"/>
      <c r="F1894" s="28"/>
      <c r="G1894" s="28"/>
      <c r="H1894" s="28"/>
    </row>
    <row r="1895" spans="4:8" s="25" customFormat="1" ht="11.25" customHeight="1">
      <c r="D1895" s="28"/>
      <c r="E1895" s="28"/>
      <c r="F1895" s="28"/>
      <c r="G1895" s="28"/>
      <c r="H1895" s="28"/>
    </row>
    <row r="1896" spans="4:8" s="25" customFormat="1" ht="11.25" customHeight="1">
      <c r="D1896" s="28"/>
      <c r="E1896" s="28"/>
      <c r="F1896" s="28"/>
      <c r="G1896" s="28"/>
      <c r="H1896" s="28"/>
    </row>
    <row r="1897" spans="4:8" s="25" customFormat="1" ht="11.25" customHeight="1">
      <c r="D1897" s="28"/>
      <c r="E1897" s="28"/>
      <c r="F1897" s="28"/>
      <c r="G1897" s="28"/>
      <c r="H1897" s="28"/>
    </row>
    <row r="1898" spans="4:8" s="25" customFormat="1" ht="11.25" customHeight="1">
      <c r="D1898" s="28"/>
      <c r="E1898" s="28"/>
      <c r="F1898" s="28"/>
      <c r="G1898" s="28"/>
      <c r="H1898" s="28"/>
    </row>
    <row r="1899" spans="4:8" s="25" customFormat="1" ht="11.25" customHeight="1">
      <c r="D1899" s="28"/>
      <c r="E1899" s="28"/>
      <c r="F1899" s="28"/>
      <c r="G1899" s="28"/>
      <c r="H1899" s="28"/>
    </row>
    <row r="1900" spans="4:8" s="25" customFormat="1" ht="11.25" customHeight="1">
      <c r="D1900" s="28"/>
      <c r="E1900" s="28"/>
      <c r="F1900" s="28"/>
      <c r="G1900" s="28"/>
      <c r="H1900" s="28"/>
    </row>
    <row r="1901" spans="4:8" s="25" customFormat="1" ht="11.25" customHeight="1">
      <c r="D1901" s="28"/>
      <c r="E1901" s="28"/>
      <c r="F1901" s="28"/>
      <c r="G1901" s="28"/>
      <c r="H1901" s="28"/>
    </row>
    <row r="1902" spans="4:8" s="25" customFormat="1" ht="11.25" customHeight="1">
      <c r="D1902" s="28"/>
      <c r="E1902" s="28"/>
      <c r="F1902" s="28"/>
      <c r="G1902" s="28"/>
      <c r="H1902" s="28"/>
    </row>
    <row r="1903" spans="4:8" s="25" customFormat="1" ht="11.25" customHeight="1">
      <c r="D1903" s="28"/>
      <c r="E1903" s="28"/>
      <c r="F1903" s="28"/>
      <c r="G1903" s="28"/>
      <c r="H1903" s="28"/>
    </row>
    <row r="1904" spans="4:8" s="25" customFormat="1" ht="11.25" customHeight="1">
      <c r="D1904" s="28"/>
      <c r="E1904" s="28"/>
      <c r="F1904" s="28"/>
      <c r="G1904" s="28"/>
      <c r="H1904" s="28"/>
    </row>
    <row r="1905" spans="4:8" s="25" customFormat="1" ht="11.25" customHeight="1">
      <c r="D1905" s="28"/>
      <c r="E1905" s="28"/>
      <c r="F1905" s="28"/>
      <c r="G1905" s="28"/>
      <c r="H1905" s="28"/>
    </row>
    <row r="1906" spans="4:8" s="25" customFormat="1" ht="11.25" customHeight="1">
      <c r="D1906" s="28"/>
      <c r="E1906" s="28"/>
      <c r="F1906" s="28"/>
      <c r="G1906" s="28"/>
      <c r="H1906" s="28"/>
    </row>
    <row r="1907" spans="4:8" s="25" customFormat="1" ht="11.25" customHeight="1">
      <c r="D1907" s="28"/>
      <c r="E1907" s="28"/>
      <c r="F1907" s="28"/>
      <c r="G1907" s="28"/>
      <c r="H1907" s="28"/>
    </row>
    <row r="1908" spans="4:8" s="25" customFormat="1" ht="11.25" customHeight="1">
      <c r="D1908" s="28"/>
      <c r="E1908" s="28"/>
      <c r="F1908" s="28"/>
      <c r="G1908" s="28"/>
      <c r="H1908" s="28"/>
    </row>
    <row r="1909" spans="4:8" s="25" customFormat="1" ht="11.25" customHeight="1">
      <c r="D1909" s="28"/>
      <c r="E1909" s="28"/>
      <c r="F1909" s="28"/>
      <c r="G1909" s="28"/>
      <c r="H1909" s="28"/>
    </row>
    <row r="1910" spans="4:8" s="25" customFormat="1" ht="11.25" customHeight="1">
      <c r="D1910" s="28"/>
      <c r="E1910" s="28"/>
      <c r="F1910" s="28"/>
      <c r="G1910" s="28"/>
      <c r="H1910" s="28"/>
    </row>
    <row r="1911" spans="4:8" s="25" customFormat="1" ht="11.25" customHeight="1">
      <c r="D1911" s="28"/>
      <c r="E1911" s="28"/>
      <c r="F1911" s="28"/>
      <c r="G1911" s="28"/>
      <c r="H1911" s="28"/>
    </row>
    <row r="1912" spans="4:8" s="25" customFormat="1" ht="11.25" customHeight="1">
      <c r="D1912" s="28"/>
      <c r="E1912" s="28"/>
      <c r="F1912" s="28"/>
      <c r="G1912" s="28"/>
      <c r="H1912" s="28"/>
    </row>
    <row r="1913" spans="4:8" s="25" customFormat="1" ht="11.25" customHeight="1">
      <c r="D1913" s="28"/>
      <c r="E1913" s="28"/>
      <c r="F1913" s="28"/>
      <c r="G1913" s="28"/>
      <c r="H1913" s="28"/>
    </row>
    <row r="1914" spans="4:8" s="25" customFormat="1" ht="11.25" customHeight="1">
      <c r="D1914" s="28"/>
      <c r="E1914" s="28"/>
      <c r="F1914" s="28"/>
      <c r="G1914" s="28"/>
      <c r="H1914" s="28"/>
    </row>
    <row r="1915" spans="4:8" s="25" customFormat="1" ht="11.25" customHeight="1">
      <c r="D1915" s="28"/>
      <c r="E1915" s="28"/>
      <c r="F1915" s="28"/>
      <c r="G1915" s="28"/>
      <c r="H1915" s="28"/>
    </row>
    <row r="1916" spans="4:8" s="25" customFormat="1" ht="11.25" customHeight="1">
      <c r="D1916" s="28"/>
      <c r="E1916" s="28"/>
      <c r="F1916" s="28"/>
      <c r="G1916" s="28"/>
      <c r="H1916" s="28"/>
    </row>
    <row r="1917" spans="4:8" s="25" customFormat="1" ht="11.25" customHeight="1">
      <c r="D1917" s="28"/>
      <c r="E1917" s="28"/>
      <c r="F1917" s="28"/>
      <c r="G1917" s="28"/>
      <c r="H1917" s="28"/>
    </row>
    <row r="1918" spans="4:8" s="25" customFormat="1" ht="11.25" customHeight="1">
      <c r="D1918" s="28"/>
      <c r="E1918" s="28"/>
      <c r="F1918" s="28"/>
      <c r="G1918" s="28"/>
      <c r="H1918" s="28"/>
    </row>
    <row r="1919" spans="4:8" s="25" customFormat="1" ht="11.25" customHeight="1">
      <c r="D1919" s="28"/>
      <c r="E1919" s="28"/>
      <c r="F1919" s="28"/>
      <c r="G1919" s="28"/>
      <c r="H1919" s="28"/>
    </row>
    <row r="1920" spans="4:8" s="25" customFormat="1" ht="11.25" customHeight="1">
      <c r="D1920" s="28"/>
      <c r="E1920" s="28"/>
      <c r="F1920" s="28"/>
      <c r="G1920" s="28"/>
      <c r="H1920" s="28"/>
    </row>
    <row r="1921" spans="4:8" s="25" customFormat="1" ht="11.25" customHeight="1">
      <c r="D1921" s="28"/>
      <c r="E1921" s="28"/>
      <c r="F1921" s="28"/>
      <c r="G1921" s="28"/>
      <c r="H1921" s="28"/>
    </row>
    <row r="1922" spans="4:8" s="25" customFormat="1" ht="11.25" customHeight="1">
      <c r="D1922" s="28"/>
      <c r="E1922" s="28"/>
      <c r="F1922" s="28"/>
      <c r="G1922" s="28"/>
      <c r="H1922" s="28"/>
    </row>
    <row r="1923" spans="4:8" s="25" customFormat="1" ht="11.25" customHeight="1">
      <c r="D1923" s="28"/>
      <c r="E1923" s="28"/>
      <c r="F1923" s="28"/>
      <c r="G1923" s="28"/>
      <c r="H1923" s="28"/>
    </row>
    <row r="1924" spans="4:8" s="25" customFormat="1" ht="11.25" customHeight="1">
      <c r="D1924" s="28"/>
      <c r="E1924" s="28"/>
      <c r="F1924" s="28"/>
      <c r="G1924" s="28"/>
      <c r="H1924" s="28"/>
    </row>
    <row r="1925" spans="4:8" s="25" customFormat="1" ht="11.25" customHeight="1">
      <c r="D1925" s="28"/>
      <c r="E1925" s="28"/>
      <c r="F1925" s="28"/>
      <c r="G1925" s="28"/>
      <c r="H1925" s="28"/>
    </row>
    <row r="1926" spans="4:8" s="25" customFormat="1" ht="11.25" customHeight="1">
      <c r="D1926" s="28"/>
      <c r="E1926" s="28"/>
      <c r="F1926" s="28"/>
      <c r="G1926" s="28"/>
      <c r="H1926" s="28"/>
    </row>
    <row r="1927" spans="4:8" s="25" customFormat="1" ht="11.25" customHeight="1">
      <c r="D1927" s="28"/>
      <c r="E1927" s="28"/>
      <c r="F1927" s="28"/>
      <c r="G1927" s="28"/>
      <c r="H1927" s="28"/>
    </row>
    <row r="1928" spans="4:8" s="25" customFormat="1" ht="11.25" customHeight="1">
      <c r="D1928" s="28"/>
      <c r="E1928" s="28"/>
      <c r="F1928" s="28"/>
      <c r="G1928" s="28"/>
      <c r="H1928" s="28"/>
    </row>
    <row r="1929" spans="4:8" s="25" customFormat="1" ht="11.25" customHeight="1">
      <c r="D1929" s="28"/>
      <c r="E1929" s="28"/>
      <c r="F1929" s="28"/>
      <c r="G1929" s="28"/>
      <c r="H1929" s="28"/>
    </row>
    <row r="1930" spans="4:8" s="25" customFormat="1" ht="11.25" customHeight="1">
      <c r="D1930" s="28"/>
      <c r="E1930" s="28"/>
      <c r="F1930" s="28"/>
      <c r="G1930" s="28"/>
      <c r="H1930" s="28"/>
    </row>
    <row r="1931" spans="4:8" s="25" customFormat="1" ht="11.25" customHeight="1">
      <c r="D1931" s="28"/>
      <c r="E1931" s="28"/>
      <c r="F1931" s="28"/>
      <c r="G1931" s="28"/>
      <c r="H1931" s="28"/>
    </row>
    <row r="1932" spans="4:8" s="25" customFormat="1" ht="11.25" customHeight="1">
      <c r="D1932" s="28"/>
      <c r="E1932" s="28"/>
      <c r="F1932" s="28"/>
      <c r="G1932" s="28"/>
      <c r="H1932" s="28"/>
    </row>
    <row r="1933" spans="4:8" s="25" customFormat="1" ht="11.25" customHeight="1">
      <c r="D1933" s="28"/>
      <c r="E1933" s="28"/>
      <c r="F1933" s="28"/>
      <c r="G1933" s="28"/>
      <c r="H1933" s="28"/>
    </row>
    <row r="1934" spans="4:8" s="25" customFormat="1" ht="11.25" customHeight="1">
      <c r="D1934" s="28"/>
      <c r="E1934" s="28"/>
      <c r="F1934" s="28"/>
      <c r="G1934" s="28"/>
      <c r="H1934" s="28"/>
    </row>
    <row r="1935" spans="4:8" s="25" customFormat="1" ht="11.25" customHeight="1">
      <c r="D1935" s="28"/>
      <c r="E1935" s="28"/>
      <c r="F1935" s="28"/>
      <c r="G1935" s="28"/>
      <c r="H1935" s="28"/>
    </row>
    <row r="1936" spans="4:8" s="25" customFormat="1" ht="11.25" customHeight="1">
      <c r="D1936" s="28"/>
      <c r="E1936" s="28"/>
      <c r="F1936" s="28"/>
      <c r="G1936" s="28"/>
      <c r="H1936" s="28"/>
    </row>
    <row r="1937" spans="4:8" s="25" customFormat="1" ht="11.25" customHeight="1">
      <c r="D1937" s="28"/>
      <c r="E1937" s="28"/>
      <c r="F1937" s="28"/>
      <c r="G1937" s="28"/>
      <c r="H1937" s="28"/>
    </row>
    <row r="1938" spans="4:8" s="25" customFormat="1" ht="11.25" customHeight="1">
      <c r="D1938" s="28"/>
      <c r="E1938" s="28"/>
      <c r="F1938" s="28"/>
      <c r="G1938" s="28"/>
      <c r="H1938" s="28"/>
    </row>
    <row r="1939" spans="4:8" s="25" customFormat="1" ht="11.25" customHeight="1">
      <c r="D1939" s="28"/>
      <c r="E1939" s="28"/>
      <c r="F1939" s="28"/>
      <c r="G1939" s="28"/>
      <c r="H1939" s="28"/>
    </row>
    <row r="1940" spans="4:8" s="25" customFormat="1" ht="11.25" customHeight="1">
      <c r="D1940" s="28"/>
      <c r="E1940" s="28"/>
      <c r="F1940" s="28"/>
      <c r="G1940" s="28"/>
      <c r="H1940" s="28"/>
    </row>
    <row r="1941" spans="4:8" s="25" customFormat="1" ht="11.25" customHeight="1">
      <c r="D1941" s="28"/>
      <c r="E1941" s="28"/>
      <c r="F1941" s="28"/>
      <c r="G1941" s="28"/>
      <c r="H1941" s="28"/>
    </row>
    <row r="1942" spans="4:8" s="25" customFormat="1" ht="11.25" customHeight="1">
      <c r="D1942" s="28"/>
      <c r="E1942" s="28"/>
      <c r="F1942" s="28"/>
      <c r="G1942" s="28"/>
      <c r="H1942" s="28"/>
    </row>
    <row r="1943" spans="4:8" s="25" customFormat="1" ht="11.25" customHeight="1">
      <c r="D1943" s="28"/>
      <c r="E1943" s="28"/>
      <c r="F1943" s="28"/>
      <c r="G1943" s="28"/>
      <c r="H1943" s="28"/>
    </row>
    <row r="1944" spans="4:8" s="25" customFormat="1" ht="11.25" customHeight="1">
      <c r="D1944" s="28"/>
      <c r="E1944" s="28"/>
      <c r="F1944" s="28"/>
      <c r="G1944" s="28"/>
      <c r="H1944" s="28"/>
    </row>
    <row r="1945" spans="4:8" s="25" customFormat="1" ht="11.25" customHeight="1">
      <c r="D1945" s="28"/>
      <c r="E1945" s="28"/>
      <c r="F1945" s="28"/>
      <c r="G1945" s="28"/>
      <c r="H1945" s="28"/>
    </row>
    <row r="1946" spans="4:8" s="25" customFormat="1" ht="11.25" customHeight="1">
      <c r="D1946" s="28"/>
      <c r="E1946" s="28"/>
      <c r="F1946" s="28"/>
      <c r="G1946" s="28"/>
      <c r="H1946" s="28"/>
    </row>
    <row r="1947" spans="4:8" s="25" customFormat="1" ht="11.25" customHeight="1">
      <c r="D1947" s="28"/>
      <c r="E1947" s="28"/>
      <c r="F1947" s="28"/>
      <c r="G1947" s="28"/>
      <c r="H1947" s="28"/>
    </row>
    <row r="1948" spans="4:8" s="25" customFormat="1" ht="11.25" customHeight="1">
      <c r="D1948" s="28"/>
      <c r="E1948" s="28"/>
      <c r="F1948" s="28"/>
      <c r="G1948" s="28"/>
      <c r="H1948" s="28"/>
    </row>
    <row r="1949" spans="4:8" s="25" customFormat="1" ht="11.25" customHeight="1">
      <c r="D1949" s="28"/>
      <c r="E1949" s="28"/>
      <c r="F1949" s="28"/>
      <c r="G1949" s="28"/>
      <c r="H1949" s="28"/>
    </row>
    <row r="1950" spans="4:8" s="25" customFormat="1" ht="11.25" customHeight="1">
      <c r="D1950" s="28"/>
      <c r="E1950" s="28"/>
      <c r="F1950" s="28"/>
      <c r="G1950" s="28"/>
      <c r="H1950" s="28"/>
    </row>
    <row r="1951" spans="4:8" s="25" customFormat="1" ht="11.25" customHeight="1">
      <c r="D1951" s="28"/>
      <c r="E1951" s="28"/>
      <c r="F1951" s="28"/>
      <c r="G1951" s="28"/>
      <c r="H1951" s="28"/>
    </row>
    <row r="1952" spans="4:8" s="25" customFormat="1" ht="11.25" customHeight="1">
      <c r="D1952" s="28"/>
      <c r="E1952" s="28"/>
      <c r="F1952" s="28"/>
      <c r="G1952" s="28"/>
      <c r="H1952" s="28"/>
    </row>
    <row r="1953" spans="4:8" s="25" customFormat="1" ht="11.25" customHeight="1">
      <c r="D1953" s="28"/>
      <c r="E1953" s="28"/>
      <c r="F1953" s="28"/>
      <c r="G1953" s="28"/>
      <c r="H1953" s="28"/>
    </row>
    <row r="1954" spans="4:8" s="25" customFormat="1" ht="11.25" customHeight="1">
      <c r="D1954" s="28"/>
      <c r="E1954" s="28"/>
      <c r="F1954" s="28"/>
      <c r="G1954" s="28"/>
      <c r="H1954" s="28"/>
    </row>
    <row r="1955" spans="4:8" s="25" customFormat="1" ht="11.25" customHeight="1">
      <c r="D1955" s="28"/>
      <c r="E1955" s="28"/>
      <c r="F1955" s="28"/>
      <c r="G1955" s="28"/>
      <c r="H1955" s="28"/>
    </row>
    <row r="1956" spans="4:8" s="25" customFormat="1" ht="11.25" customHeight="1">
      <c r="D1956" s="28"/>
      <c r="E1956" s="28"/>
      <c r="F1956" s="28"/>
      <c r="G1956" s="28"/>
      <c r="H1956" s="28"/>
    </row>
    <row r="1957" spans="4:8" s="25" customFormat="1" ht="11.25" customHeight="1">
      <c r="D1957" s="28"/>
      <c r="E1957" s="28"/>
      <c r="F1957" s="28"/>
      <c r="G1957" s="28"/>
      <c r="H1957" s="28"/>
    </row>
    <row r="1958" spans="4:8" s="25" customFormat="1" ht="11.25" customHeight="1">
      <c r="D1958" s="28"/>
      <c r="E1958" s="28"/>
      <c r="F1958" s="28"/>
      <c r="G1958" s="28"/>
      <c r="H1958" s="28"/>
    </row>
    <row r="1959" spans="4:8" s="25" customFormat="1" ht="11.25" customHeight="1">
      <c r="D1959" s="28"/>
      <c r="E1959" s="28"/>
      <c r="F1959" s="28"/>
      <c r="G1959" s="28"/>
      <c r="H1959" s="28"/>
    </row>
    <row r="1960" spans="4:8" s="25" customFormat="1" ht="11.25" customHeight="1">
      <c r="D1960" s="28"/>
      <c r="E1960" s="28"/>
      <c r="F1960" s="28"/>
      <c r="G1960" s="28"/>
      <c r="H1960" s="28"/>
    </row>
    <row r="1961" spans="4:8" s="25" customFormat="1" ht="11.25" customHeight="1">
      <c r="D1961" s="28"/>
      <c r="E1961" s="28"/>
      <c r="F1961" s="28"/>
      <c r="G1961" s="28"/>
      <c r="H1961" s="28"/>
    </row>
    <row r="1962" spans="4:8" s="25" customFormat="1" ht="11.25" customHeight="1">
      <c r="D1962" s="28"/>
      <c r="E1962" s="28"/>
      <c r="F1962" s="28"/>
      <c r="G1962" s="28"/>
      <c r="H1962" s="28"/>
    </row>
    <row r="1963" spans="4:8" s="25" customFormat="1" ht="11.25" customHeight="1">
      <c r="D1963" s="28"/>
      <c r="E1963" s="28"/>
      <c r="F1963" s="28"/>
      <c r="G1963" s="28"/>
      <c r="H1963" s="28"/>
    </row>
    <row r="1964" spans="4:8" s="25" customFormat="1" ht="11.25" customHeight="1">
      <c r="D1964" s="28"/>
      <c r="E1964" s="28"/>
      <c r="F1964" s="28"/>
      <c r="G1964" s="28"/>
      <c r="H1964" s="28"/>
    </row>
    <row r="1965" spans="4:8" s="25" customFormat="1" ht="11.25" customHeight="1">
      <c r="D1965" s="28"/>
      <c r="E1965" s="28"/>
      <c r="F1965" s="28"/>
      <c r="G1965" s="28"/>
      <c r="H1965" s="28"/>
    </row>
    <row r="1966" spans="4:8" s="25" customFormat="1" ht="11.25" customHeight="1">
      <c r="D1966" s="28"/>
      <c r="E1966" s="28"/>
      <c r="F1966" s="28"/>
      <c r="G1966" s="28"/>
      <c r="H1966" s="28"/>
    </row>
    <row r="1967" spans="4:8" s="25" customFormat="1" ht="11.25" customHeight="1">
      <c r="D1967" s="28"/>
      <c r="E1967" s="28"/>
      <c r="F1967" s="28"/>
      <c r="G1967" s="28"/>
      <c r="H1967" s="28"/>
    </row>
    <row r="1968" spans="4:8" s="25" customFormat="1" ht="11.25" customHeight="1">
      <c r="D1968" s="28"/>
      <c r="E1968" s="28"/>
      <c r="F1968" s="28"/>
      <c r="G1968" s="28"/>
      <c r="H1968" s="28"/>
    </row>
    <row r="1969" spans="4:8" s="25" customFormat="1" ht="11.25" customHeight="1">
      <c r="D1969" s="28"/>
      <c r="E1969" s="28"/>
      <c r="F1969" s="28"/>
      <c r="G1969" s="28"/>
      <c r="H1969" s="28"/>
    </row>
    <row r="1970" spans="4:8" s="25" customFormat="1" ht="11.25" customHeight="1">
      <c r="D1970" s="28"/>
      <c r="E1970" s="28"/>
      <c r="F1970" s="28"/>
      <c r="G1970" s="28"/>
      <c r="H1970" s="28"/>
    </row>
    <row r="1971" spans="4:8" s="25" customFormat="1" ht="11.25" customHeight="1">
      <c r="D1971" s="28"/>
      <c r="E1971" s="28"/>
      <c r="F1971" s="28"/>
      <c r="G1971" s="28"/>
      <c r="H1971" s="28"/>
    </row>
    <row r="1972" spans="4:8" s="25" customFormat="1" ht="11.25" customHeight="1">
      <c r="D1972" s="28"/>
      <c r="E1972" s="28"/>
      <c r="F1972" s="28"/>
      <c r="G1972" s="28"/>
      <c r="H1972" s="28"/>
    </row>
    <row r="1973" spans="4:8" s="25" customFormat="1" ht="11.25" customHeight="1">
      <c r="D1973" s="28"/>
      <c r="E1973" s="28"/>
      <c r="F1973" s="28"/>
      <c r="G1973" s="28"/>
      <c r="H1973" s="28"/>
    </row>
    <row r="1974" spans="4:8" s="25" customFormat="1" ht="11.25" customHeight="1">
      <c r="D1974" s="28"/>
      <c r="E1974" s="28"/>
      <c r="F1974" s="28"/>
      <c r="G1974" s="28"/>
      <c r="H1974" s="28"/>
    </row>
    <row r="1975" spans="4:8" s="25" customFormat="1" ht="11.25" customHeight="1">
      <c r="D1975" s="28"/>
      <c r="E1975" s="28"/>
      <c r="F1975" s="28"/>
      <c r="G1975" s="28"/>
      <c r="H1975" s="28"/>
    </row>
    <row r="1976" spans="4:8" s="25" customFormat="1" ht="11.25" customHeight="1">
      <c r="D1976" s="28"/>
      <c r="E1976" s="28"/>
      <c r="F1976" s="28"/>
      <c r="G1976" s="28"/>
      <c r="H1976" s="28"/>
    </row>
    <row r="1977" spans="4:8" s="25" customFormat="1" ht="11.25" customHeight="1">
      <c r="D1977" s="28"/>
      <c r="E1977" s="28"/>
      <c r="F1977" s="28"/>
      <c r="G1977" s="28"/>
      <c r="H1977" s="28"/>
    </row>
    <row r="1978" spans="4:8" s="25" customFormat="1" ht="11.25" customHeight="1">
      <c r="D1978" s="28"/>
      <c r="E1978" s="28"/>
      <c r="F1978" s="28"/>
      <c r="G1978" s="28"/>
      <c r="H1978" s="28"/>
    </row>
    <row r="1979" spans="4:8" s="25" customFormat="1" ht="11.25" customHeight="1">
      <c r="D1979" s="28"/>
      <c r="E1979" s="28"/>
      <c r="F1979" s="28"/>
      <c r="G1979" s="28"/>
      <c r="H1979" s="28"/>
    </row>
    <row r="1980" spans="4:8" s="25" customFormat="1" ht="11.25" customHeight="1">
      <c r="D1980" s="28"/>
      <c r="E1980" s="28"/>
      <c r="F1980" s="28"/>
      <c r="G1980" s="28"/>
      <c r="H1980" s="28"/>
    </row>
    <row r="1981" spans="4:8" s="25" customFormat="1" ht="11.25" customHeight="1">
      <c r="D1981" s="28"/>
      <c r="E1981" s="28"/>
      <c r="F1981" s="28"/>
      <c r="G1981" s="28"/>
      <c r="H1981" s="28"/>
    </row>
    <row r="1982" spans="4:8" s="25" customFormat="1" ht="11.25" customHeight="1">
      <c r="D1982" s="28"/>
      <c r="E1982" s="28"/>
      <c r="F1982" s="28"/>
      <c r="G1982" s="28"/>
      <c r="H1982" s="28"/>
    </row>
    <row r="1983" spans="4:8" s="25" customFormat="1" ht="11.25" customHeight="1">
      <c r="D1983" s="28"/>
      <c r="E1983" s="28"/>
      <c r="F1983" s="28"/>
      <c r="G1983" s="28"/>
      <c r="H1983" s="28"/>
    </row>
    <row r="1984" spans="4:8" s="25" customFormat="1" ht="11.25" customHeight="1">
      <c r="D1984" s="28"/>
      <c r="E1984" s="28"/>
      <c r="F1984" s="28"/>
      <c r="G1984" s="28"/>
      <c r="H1984" s="28"/>
    </row>
    <row r="1985" spans="4:8" s="25" customFormat="1" ht="11.25" customHeight="1">
      <c r="D1985" s="28"/>
      <c r="E1985" s="28"/>
      <c r="F1985" s="28"/>
      <c r="G1985" s="28"/>
      <c r="H1985" s="28"/>
    </row>
    <row r="1986" spans="4:8" s="25" customFormat="1" ht="11.25" customHeight="1">
      <c r="D1986" s="28"/>
      <c r="E1986" s="28"/>
      <c r="F1986" s="28"/>
      <c r="G1986" s="28"/>
      <c r="H1986" s="28"/>
    </row>
    <row r="1987" spans="4:8" s="25" customFormat="1" ht="11.25" customHeight="1">
      <c r="D1987" s="28"/>
      <c r="E1987" s="28"/>
      <c r="F1987" s="28"/>
      <c r="G1987" s="28"/>
      <c r="H1987" s="28"/>
    </row>
    <row r="1988" spans="4:8" s="25" customFormat="1" ht="11.25" customHeight="1">
      <c r="D1988" s="28"/>
      <c r="E1988" s="28"/>
      <c r="F1988" s="28"/>
      <c r="G1988" s="28"/>
      <c r="H1988" s="28"/>
    </row>
    <row r="1989" spans="4:8" s="25" customFormat="1" ht="11.25" customHeight="1">
      <c r="D1989" s="28"/>
      <c r="E1989" s="28"/>
      <c r="F1989" s="28"/>
      <c r="G1989" s="28"/>
      <c r="H1989" s="28"/>
    </row>
    <row r="1990" spans="4:8" s="25" customFormat="1" ht="11.25" customHeight="1">
      <c r="D1990" s="28"/>
      <c r="E1990" s="28"/>
      <c r="F1990" s="28"/>
      <c r="G1990" s="28"/>
      <c r="H1990" s="28"/>
    </row>
    <row r="1991" spans="4:8" s="25" customFormat="1" ht="11.25" customHeight="1">
      <c r="D1991" s="28"/>
      <c r="E1991" s="28"/>
      <c r="F1991" s="28"/>
      <c r="G1991" s="28"/>
      <c r="H1991" s="28"/>
    </row>
    <row r="1992" spans="4:8" s="25" customFormat="1" ht="11.25" customHeight="1">
      <c r="D1992" s="28"/>
      <c r="E1992" s="28"/>
      <c r="F1992" s="28"/>
      <c r="G1992" s="28"/>
      <c r="H1992" s="28"/>
    </row>
    <row r="1993" spans="4:8" s="25" customFormat="1" ht="11.25" customHeight="1">
      <c r="D1993" s="28"/>
      <c r="E1993" s="28"/>
      <c r="F1993" s="28"/>
      <c r="G1993" s="28"/>
      <c r="H1993" s="28"/>
    </row>
    <row r="1994" spans="4:8" s="25" customFormat="1" ht="11.25" customHeight="1">
      <c r="D1994" s="28"/>
      <c r="E1994" s="28"/>
      <c r="F1994" s="28"/>
      <c r="G1994" s="28"/>
      <c r="H1994" s="28"/>
    </row>
    <row r="1995" spans="4:8" s="25" customFormat="1" ht="11.25" customHeight="1">
      <c r="D1995" s="28"/>
      <c r="E1995" s="28"/>
      <c r="F1995" s="28"/>
      <c r="G1995" s="28"/>
      <c r="H1995" s="28"/>
    </row>
    <row r="1996" spans="4:8" s="25" customFormat="1" ht="11.25" customHeight="1">
      <c r="D1996" s="28"/>
      <c r="E1996" s="28"/>
      <c r="F1996" s="28"/>
      <c r="G1996" s="28"/>
      <c r="H1996" s="28"/>
    </row>
    <row r="1997" spans="4:8" s="25" customFormat="1" ht="11.25" customHeight="1">
      <c r="D1997" s="28"/>
      <c r="E1997" s="28"/>
      <c r="F1997" s="28"/>
      <c r="G1997" s="28"/>
      <c r="H1997" s="28"/>
    </row>
    <row r="1998" spans="4:8" s="25" customFormat="1" ht="11.25" customHeight="1">
      <c r="D1998" s="28"/>
      <c r="E1998" s="28"/>
      <c r="F1998" s="28"/>
      <c r="G1998" s="28"/>
      <c r="H1998" s="28"/>
    </row>
    <row r="1999" spans="4:8" s="25" customFormat="1" ht="11.25" customHeight="1">
      <c r="D1999" s="28"/>
      <c r="E1999" s="28"/>
      <c r="F1999" s="28"/>
      <c r="G1999" s="28"/>
      <c r="H1999" s="28"/>
    </row>
    <row r="2000" spans="4:8" s="25" customFormat="1" ht="11.25" customHeight="1">
      <c r="D2000" s="28"/>
      <c r="E2000" s="28"/>
      <c r="F2000" s="28"/>
      <c r="G2000" s="28"/>
      <c r="H2000" s="28"/>
    </row>
    <row r="2001" spans="4:8" s="25" customFormat="1" ht="11.25" customHeight="1">
      <c r="D2001" s="28"/>
      <c r="E2001" s="28"/>
      <c r="F2001" s="28"/>
      <c r="G2001" s="28"/>
      <c r="H2001" s="28"/>
    </row>
    <row r="2002" spans="4:8" s="25" customFormat="1" ht="11.25" customHeight="1">
      <c r="D2002" s="28"/>
      <c r="E2002" s="28"/>
      <c r="F2002" s="28"/>
      <c r="G2002" s="28"/>
      <c r="H2002" s="28"/>
    </row>
    <row r="2003" spans="4:8" s="25" customFormat="1" ht="11.25" customHeight="1">
      <c r="D2003" s="28"/>
      <c r="E2003" s="28"/>
      <c r="F2003" s="28"/>
      <c r="G2003" s="28"/>
      <c r="H2003" s="28"/>
    </row>
    <row r="2004" spans="4:8" s="25" customFormat="1" ht="11.25" customHeight="1">
      <c r="D2004" s="28"/>
      <c r="E2004" s="28"/>
      <c r="F2004" s="28"/>
      <c r="G2004" s="28"/>
      <c r="H2004" s="28"/>
    </row>
    <row r="2005" spans="4:8" s="25" customFormat="1" ht="11.25" customHeight="1">
      <c r="D2005" s="28"/>
      <c r="E2005" s="28"/>
      <c r="F2005" s="28"/>
      <c r="G2005" s="28"/>
      <c r="H2005" s="28"/>
    </row>
    <row r="2006" spans="4:8" s="25" customFormat="1" ht="11.25" customHeight="1">
      <c r="D2006" s="28"/>
      <c r="E2006" s="28"/>
      <c r="F2006" s="28"/>
      <c r="G2006" s="28"/>
      <c r="H2006" s="28"/>
    </row>
    <row r="2007" spans="4:8" s="25" customFormat="1" ht="11.25" customHeight="1">
      <c r="D2007" s="28"/>
      <c r="E2007" s="28"/>
      <c r="F2007" s="28"/>
      <c r="G2007" s="28"/>
      <c r="H2007" s="28"/>
    </row>
    <row r="2008" spans="4:8" s="25" customFormat="1" ht="11.25" customHeight="1">
      <c r="D2008" s="28"/>
      <c r="E2008" s="28"/>
      <c r="F2008" s="28"/>
      <c r="G2008" s="28"/>
      <c r="H2008" s="28"/>
    </row>
    <row r="2009" spans="4:8" s="25" customFormat="1" ht="11.25" customHeight="1">
      <c r="D2009" s="28"/>
      <c r="E2009" s="28"/>
      <c r="F2009" s="28"/>
      <c r="G2009" s="28"/>
      <c r="H2009" s="28"/>
    </row>
    <row r="2010" spans="4:8" s="25" customFormat="1" ht="11.25" customHeight="1">
      <c r="D2010" s="28"/>
      <c r="E2010" s="28"/>
      <c r="F2010" s="28"/>
      <c r="G2010" s="28"/>
      <c r="H2010" s="28"/>
    </row>
    <row r="2011" spans="4:8" s="25" customFormat="1" ht="11.25" customHeight="1">
      <c r="D2011" s="28"/>
      <c r="E2011" s="28"/>
      <c r="F2011" s="28"/>
      <c r="G2011" s="28"/>
      <c r="H2011" s="28"/>
    </row>
    <row r="2012" spans="4:8" s="25" customFormat="1" ht="11.25" customHeight="1">
      <c r="D2012" s="28"/>
      <c r="E2012" s="28"/>
      <c r="F2012" s="28"/>
      <c r="G2012" s="28"/>
      <c r="H2012" s="28"/>
    </row>
    <row r="2013" spans="4:8" s="25" customFormat="1" ht="11.25" customHeight="1">
      <c r="D2013" s="28"/>
      <c r="E2013" s="28"/>
      <c r="F2013" s="28"/>
      <c r="G2013" s="28"/>
      <c r="H2013" s="28"/>
    </row>
    <row r="2014" spans="4:8" s="25" customFormat="1" ht="11.25" customHeight="1">
      <c r="D2014" s="28"/>
      <c r="E2014" s="28"/>
      <c r="F2014" s="28"/>
      <c r="G2014" s="28"/>
      <c r="H2014" s="28"/>
    </row>
    <row r="2015" spans="4:8" s="25" customFormat="1" ht="11.25" customHeight="1">
      <c r="D2015" s="28"/>
      <c r="E2015" s="28"/>
      <c r="F2015" s="28"/>
      <c r="G2015" s="28"/>
      <c r="H2015" s="28"/>
    </row>
    <row r="2016" spans="4:8" s="25" customFormat="1" ht="11.25" customHeight="1">
      <c r="D2016" s="28"/>
      <c r="E2016" s="28"/>
      <c r="F2016" s="28"/>
      <c r="G2016" s="28"/>
      <c r="H2016" s="28"/>
    </row>
    <row r="2017" spans="4:8" s="25" customFormat="1" ht="11.25" customHeight="1">
      <c r="D2017" s="28"/>
      <c r="E2017" s="28"/>
      <c r="F2017" s="28"/>
      <c r="G2017" s="28"/>
      <c r="H2017" s="28"/>
    </row>
    <row r="2018" spans="4:8" s="25" customFormat="1" ht="11.25" customHeight="1">
      <c r="D2018" s="28"/>
      <c r="E2018" s="28"/>
      <c r="F2018" s="28"/>
      <c r="G2018" s="28"/>
      <c r="H2018" s="28"/>
    </row>
    <row r="2019" spans="4:8" s="25" customFormat="1" ht="11.25" customHeight="1">
      <c r="D2019" s="28"/>
      <c r="E2019" s="28"/>
      <c r="F2019" s="28"/>
      <c r="G2019" s="28"/>
      <c r="H2019" s="28"/>
    </row>
    <row r="2020" spans="4:8" s="25" customFormat="1" ht="11.25" customHeight="1">
      <c r="D2020" s="28"/>
      <c r="E2020" s="28"/>
      <c r="F2020" s="28"/>
      <c r="G2020" s="28"/>
      <c r="H2020" s="28"/>
    </row>
    <row r="2021" spans="4:8" s="25" customFormat="1" ht="11.25" customHeight="1">
      <c r="D2021" s="28"/>
      <c r="E2021" s="28"/>
      <c r="F2021" s="28"/>
      <c r="G2021" s="28"/>
      <c r="H2021" s="28"/>
    </row>
    <row r="2022" spans="4:8" s="25" customFormat="1" ht="11.25" customHeight="1">
      <c r="D2022" s="28"/>
      <c r="E2022" s="28"/>
      <c r="F2022" s="28"/>
      <c r="G2022" s="28"/>
      <c r="H2022" s="28"/>
    </row>
    <row r="2023" spans="4:8" s="25" customFormat="1" ht="11.25" customHeight="1">
      <c r="D2023" s="28"/>
      <c r="E2023" s="28"/>
      <c r="F2023" s="28"/>
      <c r="G2023" s="28"/>
      <c r="H2023" s="28"/>
    </row>
    <row r="2024" spans="4:8" s="25" customFormat="1" ht="11.25" customHeight="1">
      <c r="D2024" s="28"/>
      <c r="E2024" s="28"/>
      <c r="F2024" s="28"/>
      <c r="G2024" s="28"/>
      <c r="H2024" s="28"/>
    </row>
    <row r="2025" spans="4:8" s="25" customFormat="1" ht="11.25" customHeight="1">
      <c r="D2025" s="28"/>
      <c r="E2025" s="28"/>
      <c r="F2025" s="28"/>
      <c r="G2025" s="28"/>
      <c r="H2025" s="28"/>
    </row>
    <row r="2026" spans="4:8" s="25" customFormat="1" ht="11.25" customHeight="1">
      <c r="D2026" s="28"/>
      <c r="E2026" s="28"/>
      <c r="F2026" s="28"/>
      <c r="G2026" s="28"/>
      <c r="H2026" s="28"/>
    </row>
    <row r="2027" spans="4:8" s="25" customFormat="1" ht="11.25" customHeight="1">
      <c r="D2027" s="28"/>
      <c r="E2027" s="28"/>
      <c r="F2027" s="28"/>
      <c r="G2027" s="28"/>
      <c r="H2027" s="28"/>
    </row>
    <row r="2028" spans="4:8" s="25" customFormat="1" ht="11.25" customHeight="1">
      <c r="D2028" s="28"/>
      <c r="E2028" s="28"/>
      <c r="F2028" s="28"/>
      <c r="G2028" s="28"/>
      <c r="H2028" s="28"/>
    </row>
    <row r="2029" spans="4:8" s="25" customFormat="1" ht="11.25" customHeight="1">
      <c r="D2029" s="28"/>
      <c r="E2029" s="28"/>
      <c r="F2029" s="28"/>
      <c r="G2029" s="28"/>
      <c r="H2029" s="28"/>
    </row>
    <row r="2030" spans="4:8" s="25" customFormat="1" ht="11.25" customHeight="1">
      <c r="D2030" s="28"/>
      <c r="E2030" s="28"/>
      <c r="F2030" s="28"/>
      <c r="G2030" s="28"/>
      <c r="H2030" s="28"/>
    </row>
    <row r="2031" spans="4:8" s="25" customFormat="1" ht="11.25" customHeight="1">
      <c r="D2031" s="28"/>
      <c r="E2031" s="28"/>
      <c r="F2031" s="28"/>
      <c r="G2031" s="28"/>
      <c r="H2031" s="28"/>
    </row>
    <row r="2032" spans="4:8" s="25" customFormat="1" ht="11.25" customHeight="1">
      <c r="D2032" s="28"/>
      <c r="E2032" s="28"/>
      <c r="F2032" s="28"/>
      <c r="G2032" s="28"/>
      <c r="H2032" s="28"/>
    </row>
    <row r="2033" spans="4:8" s="25" customFormat="1" ht="11.25" customHeight="1">
      <c r="D2033" s="28"/>
      <c r="E2033" s="28"/>
      <c r="F2033" s="28"/>
      <c r="G2033" s="28"/>
      <c r="H2033" s="28"/>
    </row>
    <row r="2034" spans="4:8" s="25" customFormat="1" ht="11.25" customHeight="1">
      <c r="D2034" s="28"/>
      <c r="E2034" s="28"/>
      <c r="F2034" s="28"/>
      <c r="G2034" s="28"/>
      <c r="H2034" s="28"/>
    </row>
    <row r="2035" spans="4:8" s="25" customFormat="1" ht="11.25" customHeight="1">
      <c r="D2035" s="28"/>
      <c r="E2035" s="28"/>
      <c r="F2035" s="28"/>
      <c r="G2035" s="28"/>
      <c r="H2035" s="28"/>
    </row>
    <row r="2036" spans="4:8" s="25" customFormat="1" ht="11.25" customHeight="1">
      <c r="D2036" s="28"/>
      <c r="E2036" s="28"/>
      <c r="F2036" s="28"/>
      <c r="G2036" s="28"/>
      <c r="H2036" s="28"/>
    </row>
    <row r="2037" spans="4:8" s="25" customFormat="1" ht="11.25" customHeight="1">
      <c r="D2037" s="28"/>
      <c r="E2037" s="28"/>
      <c r="F2037" s="28"/>
      <c r="G2037" s="28"/>
      <c r="H2037" s="28"/>
    </row>
    <row r="2038" spans="4:8" s="25" customFormat="1" ht="11.25" customHeight="1">
      <c r="D2038" s="28"/>
      <c r="E2038" s="28"/>
      <c r="F2038" s="28"/>
      <c r="G2038" s="28"/>
      <c r="H2038" s="28"/>
    </row>
    <row r="2039" spans="4:8" s="25" customFormat="1" ht="11.25" customHeight="1">
      <c r="D2039" s="28"/>
      <c r="E2039" s="28"/>
      <c r="F2039" s="28"/>
      <c r="G2039" s="28"/>
      <c r="H2039" s="28"/>
    </row>
    <row r="2040" spans="4:8" s="25" customFormat="1" ht="11.25" customHeight="1">
      <c r="D2040" s="28"/>
      <c r="E2040" s="28"/>
      <c r="F2040" s="28"/>
      <c r="G2040" s="28"/>
      <c r="H2040" s="28"/>
    </row>
    <row r="2041" spans="4:8" s="25" customFormat="1" ht="11.25" customHeight="1">
      <c r="D2041" s="28"/>
      <c r="E2041" s="28"/>
      <c r="F2041" s="28"/>
      <c r="G2041" s="28"/>
      <c r="H2041" s="28"/>
    </row>
    <row r="2042" spans="4:8" s="25" customFormat="1" ht="11.25" customHeight="1">
      <c r="D2042" s="28"/>
      <c r="E2042" s="28"/>
      <c r="F2042" s="28"/>
      <c r="G2042" s="28"/>
      <c r="H2042" s="28"/>
    </row>
    <row r="2043" spans="4:8" s="25" customFormat="1" ht="11.25" customHeight="1">
      <c r="D2043" s="28"/>
      <c r="E2043" s="28"/>
      <c r="F2043" s="28"/>
      <c r="G2043" s="28"/>
      <c r="H2043" s="28"/>
    </row>
    <row r="2044" spans="4:8" s="25" customFormat="1" ht="11.25" customHeight="1">
      <c r="D2044" s="28"/>
      <c r="E2044" s="28"/>
      <c r="F2044" s="28"/>
      <c r="G2044" s="28"/>
      <c r="H2044" s="28"/>
    </row>
    <row r="2045" spans="4:8" s="25" customFormat="1" ht="11.25" customHeight="1">
      <c r="D2045" s="28"/>
      <c r="E2045" s="28"/>
      <c r="F2045" s="28"/>
      <c r="G2045" s="28"/>
      <c r="H2045" s="28"/>
    </row>
    <row r="2046" spans="4:8" s="25" customFormat="1" ht="11.25" customHeight="1">
      <c r="D2046" s="28"/>
      <c r="E2046" s="28"/>
      <c r="F2046" s="28"/>
      <c r="G2046" s="28"/>
      <c r="H2046" s="28"/>
    </row>
    <row r="2047" spans="4:8" s="25" customFormat="1" ht="11.25" customHeight="1">
      <c r="D2047" s="28"/>
      <c r="E2047" s="28"/>
      <c r="F2047" s="28"/>
      <c r="G2047" s="28"/>
      <c r="H2047" s="28"/>
    </row>
    <row r="2048" spans="4:8" s="25" customFormat="1" ht="11.25" customHeight="1">
      <c r="D2048" s="28"/>
      <c r="E2048" s="28"/>
      <c r="F2048" s="28"/>
      <c r="G2048" s="28"/>
      <c r="H2048" s="28"/>
    </row>
    <row r="2049" spans="4:8" s="25" customFormat="1" ht="11.25" customHeight="1">
      <c r="D2049" s="28"/>
      <c r="E2049" s="28"/>
      <c r="F2049" s="28"/>
      <c r="G2049" s="28"/>
      <c r="H2049" s="28"/>
    </row>
    <row r="2050" spans="4:8" s="25" customFormat="1" ht="11.25" customHeight="1">
      <c r="D2050" s="28"/>
      <c r="E2050" s="28"/>
      <c r="F2050" s="28"/>
      <c r="G2050" s="28"/>
      <c r="H2050" s="28"/>
    </row>
    <row r="2051" spans="4:8" s="25" customFormat="1" ht="11.25" customHeight="1">
      <c r="D2051" s="28"/>
      <c r="E2051" s="28"/>
      <c r="F2051" s="28"/>
      <c r="G2051" s="28"/>
      <c r="H2051" s="28"/>
    </row>
    <row r="2052" spans="4:8" s="25" customFormat="1" ht="11.25" customHeight="1">
      <c r="D2052" s="28"/>
      <c r="E2052" s="28"/>
      <c r="F2052" s="28"/>
      <c r="G2052" s="28"/>
      <c r="H2052" s="28"/>
    </row>
    <row r="2053" spans="4:8" s="25" customFormat="1" ht="11.25" customHeight="1">
      <c r="D2053" s="28"/>
      <c r="E2053" s="28"/>
      <c r="F2053" s="28"/>
      <c r="G2053" s="28"/>
      <c r="H2053" s="28"/>
    </row>
    <row r="2054" spans="4:8" s="25" customFormat="1" ht="11.25" customHeight="1">
      <c r="D2054" s="28"/>
      <c r="E2054" s="28"/>
      <c r="F2054" s="28"/>
      <c r="G2054" s="28"/>
      <c r="H2054" s="28"/>
    </row>
    <row r="2055" spans="4:8" s="25" customFormat="1" ht="11.25" customHeight="1">
      <c r="D2055" s="28"/>
      <c r="E2055" s="28"/>
      <c r="F2055" s="28"/>
      <c r="G2055" s="28"/>
      <c r="H2055" s="28"/>
    </row>
    <row r="2056" spans="4:8" s="25" customFormat="1" ht="11.25" customHeight="1">
      <c r="D2056" s="28"/>
      <c r="E2056" s="28"/>
      <c r="F2056" s="28"/>
      <c r="G2056" s="28"/>
      <c r="H2056" s="28"/>
    </row>
    <row r="2057" spans="4:8" s="25" customFormat="1" ht="11.25" customHeight="1">
      <c r="D2057" s="28"/>
      <c r="E2057" s="28"/>
      <c r="F2057" s="28"/>
      <c r="G2057" s="28"/>
      <c r="H2057" s="28"/>
    </row>
    <row r="2058" spans="4:8" s="25" customFormat="1" ht="11.25" customHeight="1">
      <c r="D2058" s="28"/>
      <c r="E2058" s="28"/>
      <c r="F2058" s="28"/>
      <c r="G2058" s="28"/>
      <c r="H2058" s="28"/>
    </row>
    <row r="2059" spans="4:8" s="25" customFormat="1" ht="11.25" customHeight="1">
      <c r="D2059" s="28"/>
      <c r="E2059" s="28"/>
      <c r="F2059" s="28"/>
      <c r="G2059" s="28"/>
      <c r="H2059" s="28"/>
    </row>
    <row r="2060" spans="4:8" s="25" customFormat="1" ht="11.25" customHeight="1">
      <c r="D2060" s="28"/>
      <c r="E2060" s="28"/>
      <c r="F2060" s="28"/>
      <c r="G2060" s="28"/>
      <c r="H2060" s="28"/>
    </row>
    <row r="2061" spans="4:8" s="25" customFormat="1" ht="11.25" customHeight="1">
      <c r="D2061" s="28"/>
      <c r="E2061" s="28"/>
      <c r="F2061" s="28"/>
      <c r="G2061" s="28"/>
      <c r="H2061" s="28"/>
    </row>
    <row r="2062" spans="4:8" s="25" customFormat="1" ht="11.25" customHeight="1">
      <c r="D2062" s="28"/>
      <c r="E2062" s="28"/>
      <c r="F2062" s="28"/>
      <c r="G2062" s="28"/>
      <c r="H2062" s="28"/>
    </row>
    <row r="2063" spans="4:8" s="25" customFormat="1" ht="11.25" customHeight="1">
      <c r="D2063" s="28"/>
      <c r="E2063" s="28"/>
      <c r="F2063" s="28"/>
      <c r="G2063" s="28"/>
      <c r="H2063" s="28"/>
    </row>
    <row r="2064" spans="4:8" s="25" customFormat="1" ht="11.25" customHeight="1">
      <c r="D2064" s="28"/>
      <c r="E2064" s="28"/>
      <c r="F2064" s="28"/>
      <c r="G2064" s="28"/>
      <c r="H2064" s="28"/>
    </row>
    <row r="2065" spans="4:8" s="25" customFormat="1" ht="11.25" customHeight="1">
      <c r="D2065" s="28"/>
      <c r="E2065" s="28"/>
      <c r="F2065" s="28"/>
      <c r="G2065" s="28"/>
      <c r="H2065" s="28"/>
    </row>
    <row r="2066" spans="4:8" s="25" customFormat="1" ht="11.25" customHeight="1">
      <c r="D2066" s="28"/>
      <c r="E2066" s="28"/>
      <c r="F2066" s="28"/>
      <c r="G2066" s="28"/>
      <c r="H2066" s="28"/>
    </row>
    <row r="2067" spans="4:8" s="25" customFormat="1" ht="11.25" customHeight="1">
      <c r="D2067" s="28"/>
      <c r="E2067" s="28"/>
      <c r="F2067" s="28"/>
      <c r="G2067" s="28"/>
      <c r="H2067" s="28"/>
    </row>
    <row r="2068" spans="4:8" s="25" customFormat="1" ht="11.25" customHeight="1">
      <c r="D2068" s="28"/>
      <c r="E2068" s="28"/>
      <c r="F2068" s="28"/>
      <c r="G2068" s="28"/>
      <c r="H2068" s="28"/>
    </row>
    <row r="2069" spans="4:8" s="25" customFormat="1" ht="11.25" customHeight="1">
      <c r="D2069" s="28"/>
      <c r="E2069" s="28"/>
      <c r="F2069" s="28"/>
      <c r="G2069" s="28"/>
      <c r="H2069" s="28"/>
    </row>
    <row r="2070" spans="4:8" s="25" customFormat="1" ht="11.25" customHeight="1">
      <c r="D2070" s="28"/>
      <c r="E2070" s="28"/>
      <c r="F2070" s="28"/>
      <c r="G2070" s="28"/>
      <c r="H2070" s="28"/>
    </row>
    <row r="2071" spans="4:8" s="25" customFormat="1" ht="11.25" customHeight="1">
      <c r="D2071" s="28"/>
      <c r="E2071" s="28"/>
      <c r="F2071" s="28"/>
      <c r="G2071" s="28"/>
      <c r="H2071" s="28"/>
    </row>
    <row r="2072" spans="4:8" s="25" customFormat="1" ht="11.25" customHeight="1">
      <c r="D2072" s="28"/>
      <c r="E2072" s="28"/>
      <c r="F2072" s="28"/>
      <c r="G2072" s="28"/>
      <c r="H2072" s="28"/>
    </row>
    <row r="2073" spans="4:8" s="25" customFormat="1" ht="11.25" customHeight="1">
      <c r="D2073" s="28"/>
      <c r="E2073" s="28"/>
      <c r="F2073" s="28"/>
      <c r="G2073" s="28"/>
      <c r="H2073" s="28"/>
    </row>
    <row r="2074" spans="4:8" s="25" customFormat="1" ht="11.25" customHeight="1">
      <c r="D2074" s="28"/>
      <c r="E2074" s="28"/>
      <c r="F2074" s="28"/>
      <c r="G2074" s="28"/>
      <c r="H2074" s="28"/>
    </row>
    <row r="2075" spans="4:8" s="25" customFormat="1" ht="11.25" customHeight="1">
      <c r="D2075" s="28"/>
      <c r="E2075" s="28"/>
      <c r="F2075" s="28"/>
      <c r="G2075" s="28"/>
      <c r="H2075" s="28"/>
    </row>
    <row r="2076" spans="4:8" s="25" customFormat="1" ht="11.25" customHeight="1">
      <c r="D2076" s="28"/>
      <c r="E2076" s="28"/>
      <c r="F2076" s="28"/>
      <c r="G2076" s="28"/>
      <c r="H2076" s="28"/>
    </row>
    <row r="2077" spans="4:8" s="25" customFormat="1" ht="11.25" customHeight="1">
      <c r="D2077" s="28"/>
      <c r="E2077" s="28"/>
      <c r="F2077" s="28"/>
      <c r="G2077" s="28"/>
      <c r="H2077" s="28"/>
    </row>
    <row r="2078" spans="4:8" s="25" customFormat="1" ht="11.25" customHeight="1">
      <c r="D2078" s="28"/>
      <c r="E2078" s="28"/>
      <c r="F2078" s="28"/>
      <c r="G2078" s="28"/>
      <c r="H2078" s="28"/>
    </row>
    <row r="2079" spans="4:8" s="25" customFormat="1" ht="11.25" customHeight="1">
      <c r="D2079" s="28"/>
      <c r="E2079" s="28"/>
      <c r="F2079" s="28"/>
      <c r="G2079" s="28"/>
      <c r="H2079" s="28"/>
    </row>
    <row r="2080" spans="4:8" s="25" customFormat="1" ht="11.25" customHeight="1">
      <c r="D2080" s="28"/>
      <c r="E2080" s="28"/>
      <c r="F2080" s="28"/>
      <c r="G2080" s="28"/>
      <c r="H2080" s="28"/>
    </row>
    <row r="2081" spans="4:8" s="25" customFormat="1" ht="11.25" customHeight="1">
      <c r="D2081" s="28"/>
      <c r="E2081" s="28"/>
      <c r="F2081" s="28"/>
      <c r="G2081" s="28"/>
      <c r="H2081" s="28"/>
    </row>
    <row r="2082" spans="4:8" s="25" customFormat="1" ht="11.25" customHeight="1">
      <c r="D2082" s="28"/>
      <c r="E2082" s="28"/>
      <c r="F2082" s="28"/>
      <c r="G2082" s="28"/>
      <c r="H2082" s="28"/>
    </row>
    <row r="2083" spans="4:8" s="25" customFormat="1" ht="11.25" customHeight="1">
      <c r="D2083" s="28"/>
      <c r="E2083" s="28"/>
      <c r="F2083" s="28"/>
      <c r="G2083" s="28"/>
      <c r="H2083" s="28"/>
    </row>
    <row r="2084" spans="4:8" s="25" customFormat="1" ht="11.25" customHeight="1">
      <c r="D2084" s="28"/>
      <c r="E2084" s="28"/>
      <c r="F2084" s="28"/>
      <c r="G2084" s="28"/>
      <c r="H2084" s="28"/>
    </row>
    <row r="2085" spans="4:8" s="25" customFormat="1" ht="11.25" customHeight="1">
      <c r="D2085" s="28"/>
      <c r="E2085" s="28"/>
      <c r="F2085" s="28"/>
      <c r="G2085" s="28"/>
      <c r="H2085" s="28"/>
    </row>
    <row r="2086" spans="4:8" s="25" customFormat="1" ht="11.25" customHeight="1">
      <c r="D2086" s="28"/>
      <c r="E2086" s="28"/>
      <c r="F2086" s="28"/>
      <c r="G2086" s="28"/>
      <c r="H2086" s="28"/>
    </row>
    <row r="2087" spans="4:8" s="25" customFormat="1" ht="11.25" customHeight="1">
      <c r="D2087" s="28"/>
      <c r="E2087" s="28"/>
      <c r="F2087" s="28"/>
      <c r="G2087" s="28"/>
      <c r="H2087" s="28"/>
    </row>
    <row r="2088" spans="4:8" s="25" customFormat="1" ht="11.25" customHeight="1">
      <c r="D2088" s="28"/>
      <c r="E2088" s="28"/>
      <c r="F2088" s="28"/>
      <c r="G2088" s="28"/>
      <c r="H2088" s="28"/>
    </row>
    <row r="2089" spans="4:8" s="25" customFormat="1" ht="11.25" customHeight="1">
      <c r="D2089" s="28"/>
      <c r="E2089" s="28"/>
      <c r="F2089" s="28"/>
      <c r="G2089" s="28"/>
      <c r="H2089" s="28"/>
    </row>
    <row r="2090" spans="4:8" s="25" customFormat="1" ht="11.25" customHeight="1">
      <c r="D2090" s="28"/>
      <c r="E2090" s="28"/>
      <c r="F2090" s="28"/>
      <c r="G2090" s="28"/>
      <c r="H2090" s="28"/>
    </row>
    <row r="2091" spans="4:8" s="25" customFormat="1" ht="11.25" customHeight="1">
      <c r="D2091" s="28"/>
      <c r="E2091" s="28"/>
      <c r="F2091" s="28"/>
      <c r="G2091" s="28"/>
      <c r="H2091" s="28"/>
    </row>
    <row r="2092" spans="4:8" s="25" customFormat="1" ht="11.25" customHeight="1">
      <c r="D2092" s="28"/>
      <c r="E2092" s="28"/>
      <c r="F2092" s="28"/>
      <c r="G2092" s="28"/>
      <c r="H2092" s="28"/>
    </row>
    <row r="2093" spans="4:8" s="25" customFormat="1" ht="11.25" customHeight="1">
      <c r="D2093" s="28"/>
      <c r="E2093" s="28"/>
      <c r="F2093" s="28"/>
      <c r="G2093" s="28"/>
      <c r="H2093" s="28"/>
    </row>
    <row r="2094" spans="4:8" s="25" customFormat="1" ht="11.25" customHeight="1">
      <c r="D2094" s="28"/>
      <c r="E2094" s="28"/>
      <c r="F2094" s="28"/>
      <c r="G2094" s="28"/>
      <c r="H2094" s="28"/>
    </row>
    <row r="2095" spans="4:8" s="25" customFormat="1" ht="11.25" customHeight="1">
      <c r="D2095" s="28"/>
      <c r="E2095" s="28"/>
      <c r="F2095" s="28"/>
      <c r="G2095" s="28"/>
      <c r="H2095" s="28"/>
    </row>
    <row r="2096" spans="4:8" s="25" customFormat="1" ht="11.25" customHeight="1">
      <c r="D2096" s="28"/>
      <c r="E2096" s="28"/>
      <c r="F2096" s="28"/>
      <c r="G2096" s="28"/>
      <c r="H2096" s="28"/>
    </row>
    <row r="2097" spans="4:8" s="25" customFormat="1" ht="11.25" customHeight="1">
      <c r="D2097" s="28"/>
      <c r="E2097" s="28"/>
      <c r="F2097" s="28"/>
      <c r="G2097" s="28"/>
      <c r="H2097" s="28"/>
    </row>
    <row r="2098" spans="4:8" s="25" customFormat="1" ht="11.25" customHeight="1">
      <c r="D2098" s="28"/>
      <c r="E2098" s="28"/>
      <c r="F2098" s="28"/>
      <c r="G2098" s="28"/>
      <c r="H2098" s="28"/>
    </row>
    <row r="2099" spans="4:8" s="25" customFormat="1" ht="11.25" customHeight="1">
      <c r="D2099" s="28"/>
      <c r="E2099" s="28"/>
      <c r="F2099" s="28"/>
      <c r="G2099" s="28"/>
      <c r="H2099" s="28"/>
    </row>
    <row r="2100" spans="4:8" s="25" customFormat="1" ht="11.25" customHeight="1">
      <c r="D2100" s="28"/>
      <c r="E2100" s="28"/>
      <c r="F2100" s="28"/>
      <c r="G2100" s="28"/>
      <c r="H2100" s="28"/>
    </row>
    <row r="2101" spans="4:8" s="25" customFormat="1" ht="11.25" customHeight="1">
      <c r="D2101" s="28"/>
      <c r="E2101" s="28"/>
      <c r="F2101" s="28"/>
      <c r="G2101" s="28"/>
      <c r="H2101" s="28"/>
    </row>
    <row r="2102" spans="4:8" s="25" customFormat="1" ht="11.25" customHeight="1">
      <c r="D2102" s="28"/>
      <c r="E2102" s="28"/>
      <c r="F2102" s="28"/>
      <c r="G2102" s="28"/>
      <c r="H2102" s="28"/>
    </row>
    <row r="2103" spans="4:8" s="25" customFormat="1" ht="11.25" customHeight="1">
      <c r="D2103" s="28"/>
      <c r="E2103" s="28"/>
      <c r="F2103" s="28"/>
      <c r="G2103" s="28"/>
      <c r="H2103" s="28"/>
    </row>
    <row r="2104" spans="4:8" s="25" customFormat="1" ht="11.25" customHeight="1">
      <c r="D2104" s="28"/>
      <c r="E2104" s="28"/>
      <c r="F2104" s="28"/>
      <c r="G2104" s="28"/>
      <c r="H2104" s="28"/>
    </row>
    <row r="2105" spans="4:8" s="25" customFormat="1" ht="11.25" customHeight="1">
      <c r="D2105" s="28"/>
      <c r="E2105" s="28"/>
      <c r="F2105" s="28"/>
      <c r="G2105" s="28"/>
      <c r="H2105" s="28"/>
    </row>
    <row r="2106" spans="4:8" s="25" customFormat="1" ht="11.25" customHeight="1">
      <c r="D2106" s="28"/>
      <c r="E2106" s="28"/>
      <c r="F2106" s="28"/>
      <c r="G2106" s="28"/>
      <c r="H2106" s="28"/>
    </row>
    <row r="2107" spans="4:8" s="25" customFormat="1" ht="11.25" customHeight="1">
      <c r="D2107" s="28"/>
      <c r="E2107" s="28"/>
      <c r="F2107" s="28"/>
      <c r="G2107" s="28"/>
      <c r="H2107" s="28"/>
    </row>
    <row r="2108" spans="4:8" s="25" customFormat="1" ht="11.25" customHeight="1">
      <c r="D2108" s="28"/>
      <c r="E2108" s="28"/>
      <c r="F2108" s="28"/>
      <c r="G2108" s="28"/>
      <c r="H2108" s="28"/>
    </row>
    <row r="2109" spans="4:8" s="25" customFormat="1" ht="11.25" customHeight="1">
      <c r="D2109" s="28"/>
      <c r="E2109" s="28"/>
      <c r="F2109" s="28"/>
      <c r="G2109" s="28"/>
      <c r="H2109" s="28"/>
    </row>
    <row r="2110" spans="4:8" s="25" customFormat="1" ht="11.25" customHeight="1">
      <c r="D2110" s="28"/>
      <c r="E2110" s="28"/>
      <c r="F2110" s="28"/>
      <c r="G2110" s="28"/>
      <c r="H2110" s="28"/>
    </row>
    <row r="2111" spans="4:8" s="25" customFormat="1" ht="11.25" customHeight="1">
      <c r="D2111" s="28"/>
      <c r="E2111" s="28"/>
      <c r="F2111" s="28"/>
      <c r="G2111" s="28"/>
      <c r="H2111" s="28"/>
    </row>
    <row r="2112" spans="4:8" s="25" customFormat="1" ht="11.25" customHeight="1">
      <c r="D2112" s="28"/>
      <c r="E2112" s="28"/>
      <c r="F2112" s="28"/>
      <c r="G2112" s="28"/>
      <c r="H2112" s="28"/>
    </row>
    <row r="2113" spans="4:8" s="25" customFormat="1" ht="11.25" customHeight="1">
      <c r="D2113" s="28"/>
      <c r="E2113" s="28"/>
      <c r="F2113" s="28"/>
      <c r="G2113" s="28"/>
      <c r="H2113" s="28"/>
    </row>
    <row r="2114" spans="4:8" s="25" customFormat="1" ht="11.25" customHeight="1">
      <c r="D2114" s="28"/>
      <c r="E2114" s="28"/>
      <c r="F2114" s="28"/>
      <c r="G2114" s="28"/>
      <c r="H2114" s="28"/>
    </row>
    <row r="2115" spans="4:8" s="25" customFormat="1" ht="11.25" customHeight="1">
      <c r="D2115" s="28"/>
      <c r="E2115" s="28"/>
      <c r="F2115" s="28"/>
      <c r="G2115" s="28"/>
      <c r="H2115" s="28"/>
    </row>
    <row r="2116" spans="4:8" s="25" customFormat="1" ht="11.25" customHeight="1">
      <c r="D2116" s="28"/>
      <c r="E2116" s="28"/>
      <c r="F2116" s="28"/>
      <c r="G2116" s="28"/>
      <c r="H2116" s="28"/>
    </row>
    <row r="2117" spans="4:8" s="25" customFormat="1" ht="11.25" customHeight="1">
      <c r="D2117" s="28"/>
      <c r="E2117" s="28"/>
      <c r="F2117" s="28"/>
      <c r="G2117" s="28"/>
      <c r="H2117" s="28"/>
    </row>
    <row r="2118" spans="4:8" s="25" customFormat="1" ht="11.25" customHeight="1">
      <c r="D2118" s="28"/>
      <c r="E2118" s="28"/>
      <c r="F2118" s="28"/>
      <c r="G2118" s="28"/>
      <c r="H2118" s="28"/>
    </row>
    <row r="2119" spans="4:8" s="25" customFormat="1" ht="11.25" customHeight="1">
      <c r="D2119" s="28"/>
      <c r="E2119" s="28"/>
      <c r="F2119" s="28"/>
      <c r="G2119" s="28"/>
      <c r="H2119" s="28"/>
    </row>
    <row r="2120" spans="4:8" s="25" customFormat="1" ht="11.25" customHeight="1">
      <c r="D2120" s="28"/>
      <c r="E2120" s="28"/>
      <c r="F2120" s="28"/>
      <c r="G2120" s="28"/>
      <c r="H2120" s="28"/>
    </row>
    <row r="2121" spans="4:8" s="25" customFormat="1" ht="11.25" customHeight="1">
      <c r="D2121" s="28"/>
      <c r="E2121" s="28"/>
      <c r="F2121" s="28"/>
      <c r="G2121" s="28"/>
      <c r="H2121" s="28"/>
    </row>
    <row r="2122" spans="4:8" s="25" customFormat="1" ht="11.25" customHeight="1">
      <c r="D2122" s="28"/>
      <c r="E2122" s="28"/>
      <c r="F2122" s="28"/>
      <c r="G2122" s="28"/>
      <c r="H2122" s="28"/>
    </row>
    <row r="2123" spans="4:8" s="25" customFormat="1" ht="11.25" customHeight="1">
      <c r="D2123" s="28"/>
      <c r="E2123" s="28"/>
      <c r="F2123" s="28"/>
      <c r="G2123" s="28"/>
      <c r="H2123" s="28"/>
    </row>
    <row r="2124" spans="4:8" s="25" customFormat="1" ht="11.25" customHeight="1">
      <c r="D2124" s="28"/>
      <c r="E2124" s="28"/>
      <c r="F2124" s="28"/>
      <c r="G2124" s="28"/>
      <c r="H2124" s="28"/>
    </row>
    <row r="2125" spans="4:8" s="25" customFormat="1" ht="11.25" customHeight="1">
      <c r="D2125" s="28"/>
      <c r="E2125" s="28"/>
      <c r="F2125" s="28"/>
      <c r="G2125" s="28"/>
      <c r="H2125" s="28"/>
    </row>
    <row r="2126" spans="4:8" s="25" customFormat="1" ht="11.25" customHeight="1">
      <c r="D2126" s="28"/>
      <c r="E2126" s="28"/>
      <c r="F2126" s="28"/>
      <c r="G2126" s="28"/>
      <c r="H2126" s="28"/>
    </row>
    <row r="2127" spans="4:8" s="25" customFormat="1" ht="11.25" customHeight="1">
      <c r="D2127" s="28"/>
      <c r="E2127" s="28"/>
      <c r="F2127" s="28"/>
      <c r="G2127" s="28"/>
      <c r="H2127" s="28"/>
    </row>
    <row r="2128" spans="4:8" s="25" customFormat="1" ht="11.25" customHeight="1">
      <c r="D2128" s="28"/>
      <c r="E2128" s="28"/>
      <c r="F2128" s="28"/>
      <c r="G2128" s="28"/>
      <c r="H2128" s="28"/>
    </row>
    <row r="2129" spans="4:8" s="25" customFormat="1" ht="11.25" customHeight="1">
      <c r="D2129" s="28"/>
      <c r="E2129" s="28"/>
      <c r="F2129" s="28"/>
      <c r="G2129" s="28"/>
      <c r="H2129" s="28"/>
    </row>
    <row r="2130" spans="4:8" s="25" customFormat="1" ht="11.25" customHeight="1">
      <c r="D2130" s="28"/>
      <c r="E2130" s="28"/>
      <c r="F2130" s="28"/>
      <c r="G2130" s="28"/>
      <c r="H2130" s="28"/>
    </row>
    <row r="2131" spans="4:8" s="25" customFormat="1" ht="11.25" customHeight="1">
      <c r="D2131" s="28"/>
      <c r="E2131" s="28"/>
      <c r="F2131" s="28"/>
      <c r="G2131" s="28"/>
      <c r="H2131" s="28"/>
    </row>
    <row r="2132" spans="4:8" s="25" customFormat="1" ht="11.25" customHeight="1">
      <c r="D2132" s="28"/>
      <c r="E2132" s="28"/>
      <c r="F2132" s="28"/>
      <c r="G2132" s="28"/>
      <c r="H2132" s="28"/>
    </row>
    <row r="2133" spans="4:8" s="25" customFormat="1" ht="11.25" customHeight="1">
      <c r="D2133" s="28"/>
      <c r="E2133" s="28"/>
      <c r="F2133" s="28"/>
      <c r="G2133" s="28"/>
      <c r="H2133" s="28"/>
    </row>
    <row r="2134" spans="4:8" s="25" customFormat="1" ht="11.25" customHeight="1">
      <c r="D2134" s="28"/>
      <c r="E2134" s="28"/>
      <c r="F2134" s="28"/>
      <c r="G2134" s="28"/>
      <c r="H2134" s="28"/>
    </row>
    <row r="2135" spans="4:8" s="25" customFormat="1" ht="11.25" customHeight="1">
      <c r="D2135" s="28"/>
      <c r="E2135" s="28"/>
      <c r="F2135" s="28"/>
      <c r="G2135" s="28"/>
      <c r="H2135" s="28"/>
    </row>
    <row r="2136" spans="4:8" s="25" customFormat="1" ht="11.25" customHeight="1">
      <c r="D2136" s="28"/>
      <c r="E2136" s="28"/>
      <c r="F2136" s="28"/>
      <c r="G2136" s="28"/>
      <c r="H2136" s="28"/>
    </row>
    <row r="2137" spans="4:8" s="25" customFormat="1" ht="11.25" customHeight="1">
      <c r="D2137" s="28"/>
      <c r="E2137" s="28"/>
      <c r="F2137" s="28"/>
      <c r="G2137" s="28"/>
      <c r="H2137" s="28"/>
    </row>
    <row r="2138" spans="4:8" s="25" customFormat="1" ht="11.25" customHeight="1">
      <c r="D2138" s="28"/>
      <c r="E2138" s="28"/>
      <c r="F2138" s="28"/>
      <c r="G2138" s="28"/>
      <c r="H2138" s="28"/>
    </row>
    <row r="2139" spans="4:8" s="25" customFormat="1" ht="11.25" customHeight="1">
      <c r="D2139" s="28"/>
      <c r="E2139" s="28"/>
      <c r="F2139" s="28"/>
      <c r="G2139" s="28"/>
      <c r="H2139" s="28"/>
    </row>
    <row r="2140" spans="4:8" s="25" customFormat="1" ht="11.25" customHeight="1">
      <c r="D2140" s="28"/>
      <c r="E2140" s="28"/>
      <c r="F2140" s="28"/>
      <c r="G2140" s="28"/>
      <c r="H2140" s="28"/>
    </row>
    <row r="2141" spans="4:8" s="25" customFormat="1" ht="11.25" customHeight="1">
      <c r="D2141" s="28"/>
      <c r="E2141" s="28"/>
      <c r="F2141" s="28"/>
      <c r="G2141" s="28"/>
      <c r="H2141" s="28"/>
    </row>
    <row r="2142" spans="4:8" s="25" customFormat="1" ht="11.25" customHeight="1">
      <c r="D2142" s="28"/>
      <c r="E2142" s="28"/>
      <c r="F2142" s="28"/>
      <c r="G2142" s="28"/>
      <c r="H2142" s="28"/>
    </row>
    <row r="2143" spans="4:8" s="25" customFormat="1" ht="11.25" customHeight="1">
      <c r="D2143" s="28"/>
      <c r="E2143" s="28"/>
      <c r="F2143" s="28"/>
      <c r="G2143" s="28"/>
      <c r="H2143" s="28"/>
    </row>
    <row r="2144" spans="4:8" s="25" customFormat="1" ht="11.25" customHeight="1">
      <c r="D2144" s="28"/>
      <c r="E2144" s="28"/>
      <c r="F2144" s="28"/>
      <c r="G2144" s="28"/>
      <c r="H2144" s="28"/>
    </row>
    <row r="2145" spans="4:8" s="25" customFormat="1" ht="11.25" customHeight="1">
      <c r="D2145" s="28"/>
      <c r="E2145" s="28"/>
      <c r="F2145" s="28"/>
      <c r="G2145" s="28"/>
      <c r="H2145" s="28"/>
    </row>
    <row r="2146" spans="4:8" s="25" customFormat="1" ht="11.25" customHeight="1">
      <c r="D2146" s="28"/>
      <c r="E2146" s="28"/>
      <c r="F2146" s="28"/>
      <c r="G2146" s="28"/>
      <c r="H2146" s="28"/>
    </row>
    <row r="2147" spans="4:8" s="25" customFormat="1" ht="11.25" customHeight="1">
      <c r="D2147" s="28"/>
      <c r="E2147" s="28"/>
      <c r="F2147" s="28"/>
      <c r="G2147" s="28"/>
      <c r="H2147" s="28"/>
    </row>
    <row r="2148" spans="4:8" s="25" customFormat="1" ht="11.25" customHeight="1">
      <c r="D2148" s="28"/>
      <c r="E2148" s="28"/>
      <c r="F2148" s="28"/>
      <c r="G2148" s="28"/>
      <c r="H2148" s="28"/>
    </row>
    <row r="2149" spans="4:8" s="25" customFormat="1" ht="11.25" customHeight="1">
      <c r="D2149" s="28"/>
      <c r="E2149" s="28"/>
      <c r="F2149" s="28"/>
      <c r="G2149" s="28"/>
      <c r="H2149" s="28"/>
    </row>
    <row r="2150" spans="4:8" s="25" customFormat="1" ht="11.25" customHeight="1">
      <c r="D2150" s="28"/>
      <c r="E2150" s="28"/>
      <c r="F2150" s="28"/>
      <c r="G2150" s="28"/>
      <c r="H2150" s="28"/>
    </row>
    <row r="2151" spans="4:8" s="25" customFormat="1" ht="11.25" customHeight="1">
      <c r="D2151" s="28"/>
      <c r="E2151" s="28"/>
      <c r="F2151" s="28"/>
      <c r="G2151" s="28"/>
      <c r="H2151" s="28"/>
    </row>
    <row r="2152" spans="4:8" s="25" customFormat="1" ht="11.25" customHeight="1">
      <c r="D2152" s="28"/>
      <c r="E2152" s="28"/>
      <c r="F2152" s="28"/>
      <c r="G2152" s="28"/>
      <c r="H2152" s="28"/>
    </row>
    <row r="2153" spans="4:8" s="25" customFormat="1" ht="11.25" customHeight="1">
      <c r="D2153" s="28"/>
      <c r="E2153" s="28"/>
      <c r="F2153" s="28"/>
      <c r="G2153" s="28"/>
      <c r="H2153" s="28"/>
    </row>
    <row r="2154" spans="4:8" s="25" customFormat="1" ht="11.25" customHeight="1">
      <c r="D2154" s="28"/>
      <c r="E2154" s="28"/>
      <c r="F2154" s="28"/>
      <c r="G2154" s="28"/>
      <c r="H2154" s="28"/>
    </row>
    <row r="2155" spans="4:8" s="25" customFormat="1" ht="11.25" customHeight="1">
      <c r="D2155" s="28"/>
      <c r="E2155" s="28"/>
      <c r="F2155" s="28"/>
      <c r="G2155" s="28"/>
      <c r="H2155" s="28"/>
    </row>
    <row r="2156" spans="4:8" s="25" customFormat="1" ht="11.25" customHeight="1">
      <c r="D2156" s="28"/>
      <c r="E2156" s="28"/>
      <c r="F2156" s="28"/>
      <c r="G2156" s="28"/>
      <c r="H2156" s="28"/>
    </row>
    <row r="2157" spans="4:8" s="25" customFormat="1" ht="11.25" customHeight="1">
      <c r="D2157" s="28"/>
      <c r="E2157" s="28"/>
      <c r="F2157" s="28"/>
      <c r="G2157" s="28"/>
      <c r="H2157" s="28"/>
    </row>
    <row r="2158" spans="4:8" s="25" customFormat="1" ht="11.25" customHeight="1">
      <c r="D2158" s="28"/>
      <c r="E2158" s="28"/>
      <c r="F2158" s="28"/>
      <c r="G2158" s="28"/>
      <c r="H2158" s="28"/>
    </row>
    <row r="2159" spans="4:8" s="25" customFormat="1" ht="11.25" customHeight="1">
      <c r="D2159" s="28"/>
      <c r="E2159" s="28"/>
      <c r="F2159" s="28"/>
      <c r="G2159" s="28"/>
      <c r="H2159" s="28"/>
    </row>
    <row r="2160" spans="4:8" s="25" customFormat="1" ht="11.25" customHeight="1">
      <c r="D2160" s="28"/>
      <c r="E2160" s="28"/>
      <c r="F2160" s="28"/>
      <c r="G2160" s="28"/>
      <c r="H2160" s="28"/>
    </row>
    <row r="2161" spans="4:8" s="25" customFormat="1" ht="11.25" customHeight="1">
      <c r="D2161" s="28"/>
      <c r="E2161" s="28"/>
      <c r="F2161" s="28"/>
      <c r="G2161" s="28"/>
      <c r="H2161" s="28"/>
    </row>
    <row r="2162" spans="4:8" s="25" customFormat="1" ht="11.25" customHeight="1">
      <c r="D2162" s="28"/>
      <c r="E2162" s="28"/>
      <c r="F2162" s="28"/>
      <c r="G2162" s="28"/>
      <c r="H2162" s="28"/>
    </row>
    <row r="2163" spans="4:8" s="25" customFormat="1" ht="11.25" customHeight="1">
      <c r="D2163" s="28"/>
      <c r="E2163" s="28"/>
      <c r="F2163" s="28"/>
      <c r="G2163" s="28"/>
      <c r="H2163" s="28"/>
    </row>
    <row r="2164" spans="4:8" s="25" customFormat="1" ht="11.25" customHeight="1">
      <c r="D2164" s="28"/>
      <c r="E2164" s="28"/>
      <c r="F2164" s="28"/>
      <c r="G2164" s="28"/>
      <c r="H2164" s="28"/>
    </row>
    <row r="2165" spans="4:8" s="25" customFormat="1" ht="11.25" customHeight="1">
      <c r="D2165" s="28"/>
      <c r="E2165" s="28"/>
      <c r="F2165" s="28"/>
      <c r="G2165" s="28"/>
      <c r="H2165" s="28"/>
    </row>
    <row r="2166" spans="4:8" s="25" customFormat="1" ht="11.25" customHeight="1">
      <c r="D2166" s="28"/>
      <c r="E2166" s="28"/>
      <c r="F2166" s="28"/>
      <c r="G2166" s="28"/>
      <c r="H2166" s="28"/>
    </row>
    <row r="2167" spans="4:8" s="25" customFormat="1" ht="11.25" customHeight="1">
      <c r="D2167" s="28"/>
      <c r="E2167" s="28"/>
      <c r="F2167" s="28"/>
      <c r="G2167" s="28"/>
      <c r="H2167" s="28"/>
    </row>
    <row r="2168" spans="4:8" s="25" customFormat="1" ht="11.25" customHeight="1">
      <c r="D2168" s="28"/>
      <c r="E2168" s="28"/>
      <c r="F2168" s="28"/>
      <c r="G2168" s="28"/>
      <c r="H2168" s="28"/>
    </row>
    <row r="2169" spans="4:8" s="25" customFormat="1" ht="11.25" customHeight="1">
      <c r="D2169" s="28"/>
      <c r="E2169" s="28"/>
      <c r="F2169" s="28"/>
      <c r="G2169" s="28"/>
      <c r="H2169" s="28"/>
    </row>
    <row r="2170" spans="4:8" s="25" customFormat="1" ht="11.25" customHeight="1">
      <c r="D2170" s="28"/>
      <c r="E2170" s="28"/>
      <c r="F2170" s="28"/>
      <c r="G2170" s="28"/>
      <c r="H2170" s="28"/>
    </row>
    <row r="2171" spans="4:8" s="25" customFormat="1" ht="11.25" customHeight="1">
      <c r="D2171" s="28"/>
      <c r="E2171" s="28"/>
      <c r="F2171" s="28"/>
      <c r="G2171" s="28"/>
      <c r="H2171" s="28"/>
    </row>
    <row r="2172" spans="4:8" s="25" customFormat="1" ht="11.25" customHeight="1">
      <c r="D2172" s="28"/>
      <c r="E2172" s="28"/>
      <c r="F2172" s="28"/>
      <c r="G2172" s="28"/>
      <c r="H2172" s="28"/>
    </row>
    <row r="2173" spans="4:8" s="25" customFormat="1" ht="11.25" customHeight="1">
      <c r="D2173" s="28"/>
      <c r="E2173" s="28"/>
      <c r="F2173" s="28"/>
      <c r="G2173" s="28"/>
      <c r="H2173" s="28"/>
    </row>
    <row r="2174" spans="4:8" s="25" customFormat="1" ht="11.25" customHeight="1">
      <c r="D2174" s="28"/>
      <c r="E2174" s="28"/>
      <c r="F2174" s="28"/>
      <c r="G2174" s="28"/>
      <c r="H2174" s="28"/>
    </row>
    <row r="2175" spans="4:8" s="25" customFormat="1" ht="11.25" customHeight="1">
      <c r="D2175" s="28"/>
      <c r="E2175" s="28"/>
      <c r="F2175" s="28"/>
      <c r="G2175" s="28"/>
      <c r="H2175" s="28"/>
    </row>
    <row r="2176" spans="4:8" s="25" customFormat="1" ht="11.25" customHeight="1">
      <c r="D2176" s="28"/>
      <c r="E2176" s="28"/>
      <c r="F2176" s="28"/>
      <c r="G2176" s="28"/>
      <c r="H2176" s="28"/>
    </row>
    <row r="2177" spans="4:8" s="25" customFormat="1" ht="11.25" customHeight="1">
      <c r="D2177" s="28"/>
      <c r="E2177" s="28"/>
      <c r="F2177" s="28"/>
      <c r="G2177" s="28"/>
      <c r="H2177" s="28"/>
    </row>
    <row r="2178" spans="4:8" s="25" customFormat="1" ht="11.25" customHeight="1">
      <c r="D2178" s="28"/>
      <c r="E2178" s="28"/>
      <c r="F2178" s="28"/>
      <c r="G2178" s="28"/>
      <c r="H2178" s="28"/>
    </row>
    <row r="2179" spans="4:8" s="25" customFormat="1" ht="11.25" customHeight="1">
      <c r="D2179" s="28"/>
      <c r="E2179" s="28"/>
      <c r="F2179" s="28"/>
      <c r="G2179" s="28"/>
      <c r="H2179" s="28"/>
    </row>
    <row r="2180" spans="4:8" s="25" customFormat="1" ht="11.25" customHeight="1">
      <c r="D2180" s="28"/>
      <c r="E2180" s="28"/>
      <c r="F2180" s="28"/>
      <c r="G2180" s="28"/>
      <c r="H2180" s="28"/>
    </row>
    <row r="2181" spans="4:8" s="25" customFormat="1" ht="11.25" customHeight="1">
      <c r="D2181" s="28"/>
      <c r="E2181" s="28"/>
      <c r="F2181" s="28"/>
      <c r="G2181" s="28"/>
      <c r="H2181" s="28"/>
    </row>
    <row r="2182" spans="4:8" s="25" customFormat="1" ht="11.25" customHeight="1">
      <c r="D2182" s="28"/>
      <c r="E2182" s="28"/>
      <c r="F2182" s="28"/>
      <c r="G2182" s="28"/>
      <c r="H2182" s="28"/>
    </row>
    <row r="2183" spans="4:8" s="25" customFormat="1" ht="11.25" customHeight="1">
      <c r="D2183" s="28"/>
      <c r="E2183" s="28"/>
      <c r="F2183" s="28"/>
      <c r="G2183" s="28"/>
      <c r="H2183" s="28"/>
    </row>
    <row r="2184" spans="4:8" s="25" customFormat="1" ht="11.25" customHeight="1">
      <c r="D2184" s="28"/>
      <c r="E2184" s="28"/>
      <c r="F2184" s="28"/>
      <c r="G2184" s="28"/>
      <c r="H2184" s="28"/>
    </row>
    <row r="2185" spans="4:8" s="25" customFormat="1" ht="11.25" customHeight="1">
      <c r="D2185" s="28"/>
      <c r="E2185" s="28"/>
      <c r="F2185" s="28"/>
      <c r="G2185" s="28"/>
      <c r="H2185" s="28"/>
    </row>
    <row r="2186" spans="4:8" s="25" customFormat="1" ht="11.25" customHeight="1">
      <c r="D2186" s="28"/>
      <c r="E2186" s="28"/>
      <c r="F2186" s="28"/>
      <c r="G2186" s="28"/>
      <c r="H2186" s="28"/>
    </row>
    <row r="2187" spans="4:8" s="25" customFormat="1" ht="11.25" customHeight="1">
      <c r="D2187" s="28"/>
      <c r="E2187" s="28"/>
      <c r="F2187" s="28"/>
      <c r="G2187" s="28"/>
      <c r="H2187" s="28"/>
    </row>
    <row r="2188" spans="4:8" s="25" customFormat="1" ht="11.25" customHeight="1">
      <c r="D2188" s="28"/>
      <c r="E2188" s="28"/>
      <c r="F2188" s="28"/>
      <c r="G2188" s="28"/>
      <c r="H2188" s="28"/>
    </row>
    <row r="2189" spans="4:8" s="25" customFormat="1" ht="11.25" customHeight="1">
      <c r="D2189" s="28"/>
      <c r="E2189" s="28"/>
      <c r="F2189" s="28"/>
      <c r="G2189" s="28"/>
      <c r="H2189" s="28"/>
    </row>
    <row r="2190" spans="4:8" s="25" customFormat="1" ht="11.25" customHeight="1">
      <c r="D2190" s="28"/>
      <c r="E2190" s="28"/>
      <c r="F2190" s="28"/>
      <c r="G2190" s="28"/>
      <c r="H2190" s="28"/>
    </row>
    <row r="2191" spans="4:8" s="25" customFormat="1" ht="11.25" customHeight="1">
      <c r="D2191" s="28"/>
      <c r="E2191" s="28"/>
      <c r="F2191" s="28"/>
      <c r="G2191" s="28"/>
      <c r="H2191" s="28"/>
    </row>
    <row r="2192" spans="4:8" s="25" customFormat="1" ht="11.25" customHeight="1">
      <c r="D2192" s="28"/>
      <c r="E2192" s="28"/>
      <c r="F2192" s="28"/>
      <c r="G2192" s="28"/>
      <c r="H2192" s="28"/>
    </row>
    <row r="2193" spans="4:8" s="25" customFormat="1" ht="11.25" customHeight="1">
      <c r="D2193" s="28"/>
      <c r="E2193" s="28"/>
      <c r="F2193" s="28"/>
      <c r="G2193" s="28"/>
      <c r="H2193" s="28"/>
    </row>
    <row r="2194" spans="4:8" s="25" customFormat="1" ht="11.25" customHeight="1">
      <c r="D2194" s="28"/>
      <c r="E2194" s="28"/>
      <c r="F2194" s="28"/>
      <c r="G2194" s="28"/>
      <c r="H2194" s="28"/>
    </row>
    <row r="2195" spans="4:8" s="25" customFormat="1" ht="11.25" customHeight="1">
      <c r="D2195" s="28"/>
      <c r="E2195" s="28"/>
      <c r="F2195" s="28"/>
      <c r="G2195" s="28"/>
      <c r="H2195" s="28"/>
    </row>
    <row r="2196" spans="4:8" s="25" customFormat="1" ht="11.25" customHeight="1">
      <c r="D2196" s="28"/>
      <c r="E2196" s="28"/>
      <c r="F2196" s="28"/>
      <c r="G2196" s="28"/>
      <c r="H2196" s="28"/>
    </row>
    <row r="2197" spans="4:8" s="25" customFormat="1" ht="11.25" customHeight="1">
      <c r="D2197" s="28"/>
      <c r="E2197" s="28"/>
      <c r="F2197" s="28"/>
      <c r="G2197" s="28"/>
      <c r="H2197" s="28"/>
    </row>
    <row r="2198" spans="4:8" s="25" customFormat="1" ht="11.25" customHeight="1">
      <c r="D2198" s="28"/>
      <c r="E2198" s="28"/>
      <c r="F2198" s="28"/>
      <c r="G2198" s="28"/>
      <c r="H2198" s="28"/>
    </row>
    <row r="2199" spans="4:8" s="25" customFormat="1" ht="11.25" customHeight="1">
      <c r="D2199" s="28"/>
      <c r="E2199" s="28"/>
      <c r="F2199" s="28"/>
      <c r="G2199" s="28"/>
      <c r="H2199" s="28"/>
    </row>
    <row r="2200" spans="4:8" s="25" customFormat="1" ht="11.25" customHeight="1">
      <c r="D2200" s="28"/>
      <c r="E2200" s="28"/>
      <c r="F2200" s="28"/>
      <c r="G2200" s="28"/>
      <c r="H2200" s="28"/>
    </row>
    <row r="2201" spans="4:8" s="25" customFormat="1" ht="11.25" customHeight="1">
      <c r="D2201" s="28"/>
      <c r="E2201" s="28"/>
      <c r="F2201" s="28"/>
      <c r="G2201" s="28"/>
      <c r="H2201" s="28"/>
    </row>
    <row r="2202" spans="4:8" s="25" customFormat="1" ht="11.25" customHeight="1">
      <c r="D2202" s="28"/>
      <c r="E2202" s="28"/>
      <c r="F2202" s="28"/>
      <c r="G2202" s="28"/>
      <c r="H2202" s="28"/>
    </row>
    <row r="2203" spans="4:8" s="25" customFormat="1" ht="11.25" customHeight="1">
      <c r="D2203" s="28"/>
      <c r="E2203" s="28"/>
      <c r="F2203" s="28"/>
      <c r="G2203" s="28"/>
      <c r="H2203" s="28"/>
    </row>
    <row r="2204" spans="4:8" s="25" customFormat="1" ht="11.25" customHeight="1">
      <c r="D2204" s="28"/>
      <c r="E2204" s="28"/>
      <c r="F2204" s="28"/>
      <c r="G2204" s="28"/>
      <c r="H2204" s="28"/>
    </row>
    <row r="2205" spans="4:8" s="25" customFormat="1" ht="11.25" customHeight="1">
      <c r="D2205" s="28"/>
      <c r="E2205" s="28"/>
      <c r="F2205" s="28"/>
      <c r="G2205" s="28"/>
      <c r="H2205" s="28"/>
    </row>
    <row r="2206" spans="4:8" s="25" customFormat="1" ht="11.25" customHeight="1">
      <c r="D2206" s="28"/>
      <c r="E2206" s="28"/>
      <c r="F2206" s="28"/>
      <c r="G2206" s="28"/>
      <c r="H2206" s="28"/>
    </row>
    <row r="2207" spans="4:8" s="25" customFormat="1" ht="11.25" customHeight="1">
      <c r="D2207" s="28"/>
      <c r="E2207" s="28"/>
      <c r="F2207" s="28"/>
      <c r="G2207" s="28"/>
      <c r="H2207" s="28"/>
    </row>
    <row r="2208" spans="4:8" s="25" customFormat="1" ht="11.25" customHeight="1">
      <c r="D2208" s="28"/>
      <c r="E2208" s="28"/>
      <c r="F2208" s="28"/>
      <c r="G2208" s="28"/>
      <c r="H2208" s="28"/>
    </row>
    <row r="2209" spans="4:8" s="25" customFormat="1" ht="11.25" customHeight="1">
      <c r="D2209" s="28"/>
      <c r="E2209" s="28"/>
      <c r="F2209" s="28"/>
      <c r="G2209" s="28"/>
      <c r="H2209" s="28"/>
    </row>
    <row r="2210" spans="4:8" s="25" customFormat="1" ht="11.25" customHeight="1">
      <c r="D2210" s="28"/>
      <c r="E2210" s="28"/>
      <c r="F2210" s="28"/>
      <c r="G2210" s="28"/>
      <c r="H2210" s="28"/>
    </row>
    <row r="2211" spans="4:8" s="25" customFormat="1" ht="11.25" customHeight="1">
      <c r="D2211" s="28"/>
      <c r="E2211" s="28"/>
      <c r="F2211" s="28"/>
      <c r="G2211" s="28"/>
      <c r="H2211" s="28"/>
    </row>
    <row r="2212" spans="4:8" s="25" customFormat="1" ht="11.25" customHeight="1">
      <c r="D2212" s="28"/>
      <c r="E2212" s="28"/>
      <c r="F2212" s="28"/>
      <c r="G2212" s="28"/>
      <c r="H2212" s="28"/>
    </row>
    <row r="2213" spans="4:8" s="25" customFormat="1" ht="11.25" customHeight="1">
      <c r="D2213" s="28"/>
      <c r="E2213" s="28"/>
      <c r="F2213" s="28"/>
      <c r="G2213" s="28"/>
      <c r="H2213" s="28"/>
    </row>
    <row r="2214" spans="4:8" s="25" customFormat="1" ht="11.25" customHeight="1">
      <c r="D2214" s="28"/>
      <c r="E2214" s="28"/>
      <c r="F2214" s="28"/>
      <c r="G2214" s="28"/>
      <c r="H2214" s="28"/>
    </row>
    <row r="2215" spans="4:8" s="25" customFormat="1" ht="11.25" customHeight="1">
      <c r="D2215" s="28"/>
      <c r="E2215" s="28"/>
      <c r="F2215" s="28"/>
      <c r="G2215" s="28"/>
      <c r="H2215" s="28"/>
    </row>
    <row r="2216" spans="4:8" s="25" customFormat="1" ht="11.25" customHeight="1">
      <c r="D2216" s="28"/>
      <c r="E2216" s="28"/>
      <c r="F2216" s="28"/>
      <c r="G2216" s="28"/>
      <c r="H2216" s="28"/>
    </row>
    <row r="2217" spans="4:8" s="25" customFormat="1" ht="11.25" customHeight="1">
      <c r="D2217" s="28"/>
      <c r="E2217" s="28"/>
      <c r="F2217" s="28"/>
      <c r="G2217" s="28"/>
      <c r="H2217" s="28"/>
    </row>
    <row r="2218" spans="4:8" s="25" customFormat="1" ht="11.25" customHeight="1">
      <c r="D2218" s="28"/>
      <c r="E2218" s="28"/>
      <c r="F2218" s="28"/>
      <c r="G2218" s="28"/>
      <c r="H2218" s="28"/>
    </row>
    <row r="2219" spans="4:8" s="25" customFormat="1" ht="11.25" customHeight="1">
      <c r="D2219" s="28"/>
      <c r="E2219" s="28"/>
      <c r="F2219" s="28"/>
      <c r="G2219" s="28"/>
      <c r="H2219" s="28"/>
    </row>
    <row r="2220" spans="4:8" s="25" customFormat="1" ht="11.25" customHeight="1">
      <c r="D2220" s="28"/>
      <c r="E2220" s="28"/>
      <c r="F2220" s="28"/>
      <c r="G2220" s="28"/>
      <c r="H2220" s="28"/>
    </row>
    <row r="2221" spans="4:8" s="25" customFormat="1" ht="11.25" customHeight="1">
      <c r="D2221" s="28"/>
      <c r="E2221" s="28"/>
      <c r="F2221" s="28"/>
      <c r="G2221" s="28"/>
      <c r="H2221" s="28"/>
    </row>
    <row r="2222" spans="4:8" s="25" customFormat="1" ht="11.25" customHeight="1">
      <c r="D2222" s="28"/>
      <c r="E2222" s="28"/>
      <c r="F2222" s="28"/>
      <c r="G2222" s="28"/>
      <c r="H2222" s="28"/>
    </row>
    <row r="2223" spans="4:8" s="25" customFormat="1" ht="11.25" customHeight="1">
      <c r="D2223" s="28"/>
      <c r="E2223" s="28"/>
      <c r="F2223" s="28"/>
      <c r="G2223" s="28"/>
      <c r="H2223" s="28"/>
    </row>
    <row r="2224" spans="4:8" s="25" customFormat="1" ht="11.25" customHeight="1">
      <c r="D2224" s="28"/>
      <c r="E2224" s="28"/>
      <c r="F2224" s="28"/>
      <c r="G2224" s="28"/>
      <c r="H2224" s="28"/>
    </row>
    <row r="2225" spans="4:8" s="25" customFormat="1" ht="11.25" customHeight="1">
      <c r="D2225" s="28"/>
      <c r="E2225" s="28"/>
      <c r="F2225" s="28"/>
      <c r="G2225" s="28"/>
      <c r="H2225" s="28"/>
    </row>
    <row r="2226" spans="4:8" s="25" customFormat="1" ht="11.25" customHeight="1">
      <c r="D2226" s="28"/>
      <c r="E2226" s="28"/>
      <c r="F2226" s="28"/>
      <c r="G2226" s="28"/>
      <c r="H2226" s="28"/>
    </row>
    <row r="2227" spans="4:8" s="25" customFormat="1" ht="11.25" customHeight="1">
      <c r="D2227" s="28"/>
      <c r="E2227" s="28"/>
      <c r="F2227" s="28"/>
      <c r="G2227" s="28"/>
      <c r="H2227" s="28"/>
    </row>
    <row r="2228" spans="4:8" s="25" customFormat="1" ht="11.25" customHeight="1">
      <c r="D2228" s="28"/>
      <c r="E2228" s="28"/>
      <c r="F2228" s="28"/>
      <c r="G2228" s="28"/>
      <c r="H2228" s="28"/>
    </row>
    <row r="2229" spans="4:8" s="25" customFormat="1" ht="11.25" customHeight="1">
      <c r="D2229" s="28"/>
      <c r="E2229" s="28"/>
      <c r="F2229" s="28"/>
      <c r="G2229" s="28"/>
      <c r="H2229" s="28"/>
    </row>
    <row r="2230" spans="4:8" s="25" customFormat="1" ht="11.25" customHeight="1">
      <c r="D2230" s="28"/>
      <c r="E2230" s="28"/>
      <c r="F2230" s="28"/>
      <c r="G2230" s="28"/>
      <c r="H2230" s="28"/>
    </row>
    <row r="2231" spans="4:8" s="25" customFormat="1" ht="11.25" customHeight="1">
      <c r="D2231" s="28"/>
      <c r="E2231" s="28"/>
      <c r="F2231" s="28"/>
      <c r="G2231" s="28"/>
      <c r="H2231" s="28"/>
    </row>
    <row r="2232" spans="4:8" s="25" customFormat="1" ht="11.25" customHeight="1">
      <c r="D2232" s="28"/>
      <c r="E2232" s="28"/>
      <c r="F2232" s="28"/>
      <c r="G2232" s="28"/>
      <c r="H2232" s="28"/>
    </row>
    <row r="2233" spans="4:8" s="25" customFormat="1" ht="11.25" customHeight="1">
      <c r="D2233" s="28"/>
      <c r="E2233" s="28"/>
      <c r="F2233" s="28"/>
      <c r="G2233" s="28"/>
      <c r="H2233" s="28"/>
    </row>
    <row r="2234" spans="4:8" s="25" customFormat="1" ht="11.25" customHeight="1">
      <c r="D2234" s="28"/>
      <c r="E2234" s="28"/>
      <c r="F2234" s="28"/>
      <c r="G2234" s="28"/>
      <c r="H2234" s="28"/>
    </row>
    <row r="2235" spans="4:8" s="25" customFormat="1" ht="11.25" customHeight="1">
      <c r="D2235" s="28"/>
      <c r="E2235" s="28"/>
      <c r="F2235" s="28"/>
      <c r="G2235" s="28"/>
      <c r="H2235" s="28"/>
    </row>
    <row r="2236" spans="4:8" s="25" customFormat="1" ht="11.25" customHeight="1">
      <c r="D2236" s="28"/>
      <c r="E2236" s="28"/>
      <c r="F2236" s="28"/>
      <c r="G2236" s="28"/>
      <c r="H2236" s="28"/>
    </row>
    <row r="2237" spans="4:8" s="25" customFormat="1" ht="11.25" customHeight="1">
      <c r="D2237" s="28"/>
      <c r="E2237" s="28"/>
      <c r="F2237" s="28"/>
      <c r="G2237" s="28"/>
      <c r="H2237" s="28"/>
    </row>
    <row r="2238" spans="4:8" s="25" customFormat="1" ht="11.25" customHeight="1">
      <c r="D2238" s="28"/>
      <c r="E2238" s="28"/>
      <c r="F2238" s="28"/>
      <c r="G2238" s="28"/>
      <c r="H2238" s="28"/>
    </row>
    <row r="2239" spans="4:8" s="25" customFormat="1" ht="11.25" customHeight="1">
      <c r="D2239" s="28"/>
      <c r="E2239" s="28"/>
      <c r="F2239" s="28"/>
      <c r="G2239" s="28"/>
      <c r="H2239" s="28"/>
    </row>
    <row r="2240" spans="4:8" s="25" customFormat="1" ht="11.25" customHeight="1">
      <c r="D2240" s="28"/>
      <c r="E2240" s="28"/>
      <c r="F2240" s="28"/>
      <c r="G2240" s="28"/>
      <c r="H2240" s="28"/>
    </row>
    <row r="2241" spans="4:8" s="25" customFormat="1" ht="11.25" customHeight="1">
      <c r="D2241" s="28"/>
      <c r="E2241" s="28"/>
      <c r="F2241" s="28"/>
      <c r="G2241" s="28"/>
      <c r="H2241" s="28"/>
    </row>
    <row r="2242" spans="4:8" s="25" customFormat="1" ht="11.25" customHeight="1">
      <c r="D2242" s="28"/>
      <c r="E2242" s="28"/>
      <c r="F2242" s="28"/>
      <c r="G2242" s="28"/>
      <c r="H2242" s="28"/>
    </row>
    <row r="2243" spans="4:8" s="25" customFormat="1" ht="11.25" customHeight="1">
      <c r="D2243" s="28"/>
      <c r="E2243" s="28"/>
      <c r="F2243" s="28"/>
      <c r="G2243" s="28"/>
      <c r="H2243" s="28"/>
    </row>
    <row r="2244" spans="4:8" s="25" customFormat="1" ht="11.25" customHeight="1">
      <c r="D2244" s="28"/>
      <c r="E2244" s="28"/>
      <c r="F2244" s="28"/>
      <c r="G2244" s="28"/>
      <c r="H2244" s="28"/>
    </row>
    <row r="2245" spans="4:8" s="25" customFormat="1" ht="11.25" customHeight="1">
      <c r="D2245" s="28"/>
      <c r="E2245" s="28"/>
      <c r="F2245" s="28"/>
      <c r="G2245" s="28"/>
      <c r="H2245" s="28"/>
    </row>
    <row r="2246" spans="4:8" s="25" customFormat="1" ht="11.25" customHeight="1">
      <c r="D2246" s="28"/>
      <c r="E2246" s="28"/>
      <c r="F2246" s="28"/>
      <c r="G2246" s="28"/>
      <c r="H2246" s="28"/>
    </row>
    <row r="2247" spans="4:8" s="25" customFormat="1" ht="11.25" customHeight="1">
      <c r="D2247" s="28"/>
      <c r="E2247" s="28"/>
      <c r="F2247" s="28"/>
      <c r="G2247" s="28"/>
      <c r="H2247" s="28"/>
    </row>
    <row r="2248" spans="4:8" s="25" customFormat="1" ht="11.25" customHeight="1">
      <c r="D2248" s="28"/>
      <c r="E2248" s="28"/>
      <c r="F2248" s="28"/>
      <c r="G2248" s="28"/>
      <c r="H2248" s="28"/>
    </row>
    <row r="2249" spans="4:8" s="25" customFormat="1" ht="11.25" customHeight="1">
      <c r="D2249" s="28"/>
      <c r="E2249" s="28"/>
      <c r="F2249" s="28"/>
      <c r="G2249" s="28"/>
      <c r="H2249" s="28"/>
    </row>
    <row r="2250" spans="4:8" s="25" customFormat="1" ht="11.25" customHeight="1">
      <c r="D2250" s="28"/>
      <c r="E2250" s="28"/>
      <c r="F2250" s="28"/>
      <c r="G2250" s="28"/>
      <c r="H2250" s="28"/>
    </row>
    <row r="2251" spans="4:8" s="25" customFormat="1" ht="11.25" customHeight="1">
      <c r="D2251" s="28"/>
      <c r="E2251" s="28"/>
      <c r="F2251" s="28"/>
      <c r="G2251" s="28"/>
      <c r="H2251" s="28"/>
    </row>
    <row r="2252" spans="4:8" s="25" customFormat="1" ht="11.25" customHeight="1">
      <c r="D2252" s="28"/>
      <c r="E2252" s="28"/>
      <c r="F2252" s="28"/>
      <c r="G2252" s="28"/>
      <c r="H2252" s="28"/>
    </row>
    <row r="2253" spans="4:8" s="25" customFormat="1" ht="11.25" customHeight="1">
      <c r="D2253" s="28"/>
      <c r="E2253" s="28"/>
      <c r="F2253" s="28"/>
      <c r="G2253" s="28"/>
      <c r="H2253" s="28"/>
    </row>
    <row r="2254" spans="4:8" s="25" customFormat="1" ht="11.25" customHeight="1">
      <c r="D2254" s="28"/>
      <c r="E2254" s="28"/>
      <c r="F2254" s="28"/>
      <c r="G2254" s="28"/>
      <c r="H2254" s="28"/>
    </row>
    <row r="2255" spans="4:8" s="25" customFormat="1" ht="11.25" customHeight="1">
      <c r="D2255" s="28"/>
      <c r="E2255" s="28"/>
      <c r="F2255" s="28"/>
      <c r="G2255" s="28"/>
      <c r="H2255" s="28"/>
    </row>
    <row r="2256" spans="4:8" s="25" customFormat="1" ht="11.25" customHeight="1">
      <c r="D2256" s="28"/>
      <c r="E2256" s="28"/>
      <c r="F2256" s="28"/>
      <c r="G2256" s="28"/>
      <c r="H2256" s="28"/>
    </row>
    <row r="2257" spans="4:8" s="25" customFormat="1" ht="11.25" customHeight="1">
      <c r="D2257" s="28"/>
      <c r="E2257" s="28"/>
      <c r="F2257" s="28"/>
      <c r="G2257" s="28"/>
      <c r="H2257" s="28"/>
    </row>
    <row r="2258" spans="4:8" s="25" customFormat="1" ht="11.25" customHeight="1">
      <c r="D2258" s="28"/>
      <c r="E2258" s="28"/>
      <c r="F2258" s="28"/>
      <c r="G2258" s="28"/>
      <c r="H2258" s="28"/>
    </row>
    <row r="2259" spans="4:8" s="25" customFormat="1" ht="11.25" customHeight="1">
      <c r="D2259" s="28"/>
      <c r="E2259" s="28"/>
      <c r="F2259" s="28"/>
      <c r="G2259" s="28"/>
      <c r="H2259" s="28"/>
    </row>
    <row r="2260" spans="4:8" s="25" customFormat="1" ht="11.25" customHeight="1">
      <c r="D2260" s="28"/>
      <c r="E2260" s="28"/>
      <c r="F2260" s="28"/>
      <c r="G2260" s="28"/>
      <c r="H2260" s="28"/>
    </row>
    <row r="2261" spans="4:8" s="25" customFormat="1" ht="11.25" customHeight="1">
      <c r="D2261" s="28"/>
      <c r="E2261" s="28"/>
      <c r="F2261" s="28"/>
      <c r="G2261" s="28"/>
      <c r="H2261" s="28"/>
    </row>
    <row r="2262" spans="4:8" s="25" customFormat="1" ht="11.25" customHeight="1">
      <c r="D2262" s="28"/>
      <c r="E2262" s="28"/>
      <c r="F2262" s="28"/>
      <c r="G2262" s="28"/>
      <c r="H2262" s="28"/>
    </row>
    <row r="2263" spans="4:8" s="25" customFormat="1" ht="11.25" customHeight="1">
      <c r="D2263" s="28"/>
      <c r="E2263" s="28"/>
      <c r="F2263" s="28"/>
      <c r="G2263" s="28"/>
      <c r="H2263" s="28"/>
    </row>
    <row r="2264" spans="4:8" s="25" customFormat="1" ht="11.25" customHeight="1">
      <c r="D2264" s="28"/>
      <c r="E2264" s="28"/>
      <c r="F2264" s="28"/>
      <c r="G2264" s="28"/>
      <c r="H2264" s="28"/>
    </row>
    <row r="2265" spans="4:8" s="25" customFormat="1" ht="11.25" customHeight="1">
      <c r="D2265" s="28"/>
      <c r="E2265" s="28"/>
      <c r="F2265" s="28"/>
      <c r="G2265" s="28"/>
      <c r="H2265" s="28"/>
    </row>
    <row r="2266" spans="4:8" s="25" customFormat="1" ht="11.25" customHeight="1">
      <c r="D2266" s="28"/>
      <c r="E2266" s="28"/>
      <c r="F2266" s="28"/>
      <c r="G2266" s="28"/>
      <c r="H2266" s="28"/>
    </row>
    <row r="2267" spans="4:8" s="25" customFormat="1" ht="11.25" customHeight="1">
      <c r="D2267" s="28"/>
      <c r="E2267" s="28"/>
      <c r="F2267" s="28"/>
      <c r="G2267" s="28"/>
      <c r="H2267" s="28"/>
    </row>
    <row r="2268" spans="4:8" s="25" customFormat="1" ht="11.25" customHeight="1">
      <c r="D2268" s="28"/>
      <c r="E2268" s="28"/>
      <c r="F2268" s="28"/>
      <c r="G2268" s="28"/>
      <c r="H2268" s="28"/>
    </row>
    <row r="2269" spans="4:8" s="25" customFormat="1" ht="11.25" customHeight="1">
      <c r="D2269" s="28"/>
      <c r="E2269" s="28"/>
      <c r="F2269" s="28"/>
      <c r="G2269" s="28"/>
      <c r="H2269" s="28"/>
    </row>
    <row r="2270" spans="4:8" s="25" customFormat="1" ht="11.25" customHeight="1">
      <c r="D2270" s="28"/>
      <c r="E2270" s="28"/>
      <c r="F2270" s="28"/>
      <c r="G2270" s="28"/>
      <c r="H2270" s="28"/>
    </row>
    <row r="2271" spans="4:8" s="25" customFormat="1" ht="11.25" customHeight="1">
      <c r="D2271" s="28"/>
      <c r="E2271" s="28"/>
      <c r="F2271" s="28"/>
      <c r="G2271" s="28"/>
      <c r="H2271" s="28"/>
    </row>
    <row r="2272" spans="4:8" s="25" customFormat="1" ht="11.25" customHeight="1">
      <c r="D2272" s="28"/>
      <c r="E2272" s="28"/>
      <c r="F2272" s="28"/>
      <c r="G2272" s="28"/>
      <c r="H2272" s="28"/>
    </row>
    <row r="2273" spans="4:8" s="25" customFormat="1" ht="11.25" customHeight="1">
      <c r="D2273" s="28"/>
      <c r="E2273" s="28"/>
      <c r="F2273" s="28"/>
      <c r="G2273" s="28"/>
      <c r="H2273" s="28"/>
    </row>
    <row r="2274" spans="4:8" s="25" customFormat="1" ht="11.25" customHeight="1">
      <c r="D2274" s="28"/>
      <c r="E2274" s="28"/>
      <c r="F2274" s="28"/>
      <c r="G2274" s="28"/>
      <c r="H2274" s="28"/>
    </row>
    <row r="2275" spans="4:8" s="25" customFormat="1" ht="11.25" customHeight="1">
      <c r="D2275" s="28"/>
      <c r="E2275" s="28"/>
      <c r="F2275" s="28"/>
      <c r="G2275" s="28"/>
      <c r="H2275" s="28"/>
    </row>
    <row r="2276" spans="4:8" s="25" customFormat="1" ht="11.25" customHeight="1">
      <c r="D2276" s="28"/>
      <c r="E2276" s="28"/>
      <c r="F2276" s="28"/>
      <c r="G2276" s="28"/>
      <c r="H2276" s="28"/>
    </row>
    <row r="2277" spans="4:8" s="25" customFormat="1" ht="11.25" customHeight="1">
      <c r="D2277" s="28"/>
      <c r="E2277" s="28"/>
      <c r="F2277" s="28"/>
      <c r="G2277" s="28"/>
      <c r="H2277" s="28"/>
    </row>
    <row r="2278" spans="4:8" s="25" customFormat="1" ht="11.25" customHeight="1">
      <c r="D2278" s="28"/>
      <c r="E2278" s="28"/>
      <c r="F2278" s="28"/>
      <c r="G2278" s="28"/>
      <c r="H2278" s="28"/>
    </row>
    <row r="2279" spans="4:8" s="25" customFormat="1" ht="11.25" customHeight="1">
      <c r="D2279" s="28"/>
      <c r="E2279" s="28"/>
      <c r="F2279" s="28"/>
      <c r="G2279" s="28"/>
      <c r="H2279" s="28"/>
    </row>
    <row r="2280" spans="4:8" s="25" customFormat="1" ht="11.25" customHeight="1">
      <c r="D2280" s="28"/>
      <c r="E2280" s="28"/>
      <c r="F2280" s="28"/>
      <c r="G2280" s="28"/>
      <c r="H2280" s="28"/>
    </row>
    <row r="2281" spans="4:8" s="25" customFormat="1" ht="11.25" customHeight="1">
      <c r="D2281" s="28"/>
      <c r="E2281" s="28"/>
      <c r="F2281" s="28"/>
      <c r="G2281" s="28"/>
      <c r="H2281" s="28"/>
    </row>
    <row r="2282" spans="4:8" s="25" customFormat="1" ht="11.25" customHeight="1">
      <c r="D2282" s="28"/>
      <c r="E2282" s="28"/>
      <c r="F2282" s="28"/>
      <c r="G2282" s="28"/>
      <c r="H2282" s="28"/>
    </row>
    <row r="2283" spans="4:8" s="25" customFormat="1" ht="11.25" customHeight="1">
      <c r="D2283" s="28"/>
      <c r="E2283" s="28"/>
      <c r="F2283" s="28"/>
      <c r="G2283" s="28"/>
      <c r="H2283" s="28"/>
    </row>
    <row r="2284" spans="4:8" s="25" customFormat="1" ht="11.25" customHeight="1">
      <c r="D2284" s="28"/>
      <c r="E2284" s="28"/>
      <c r="F2284" s="28"/>
      <c r="G2284" s="28"/>
      <c r="H2284" s="28"/>
    </row>
    <row r="2285" spans="4:8" s="25" customFormat="1" ht="11.25" customHeight="1">
      <c r="D2285" s="28"/>
      <c r="E2285" s="28"/>
      <c r="F2285" s="28"/>
      <c r="G2285" s="28"/>
      <c r="H2285" s="28"/>
    </row>
    <row r="2286" spans="4:8" s="25" customFormat="1" ht="11.25" customHeight="1">
      <c r="D2286" s="28"/>
      <c r="E2286" s="28"/>
      <c r="F2286" s="28"/>
      <c r="G2286" s="28"/>
      <c r="H2286" s="28"/>
    </row>
    <row r="2287" spans="4:8" s="25" customFormat="1" ht="11.25" customHeight="1">
      <c r="D2287" s="28"/>
      <c r="E2287" s="28"/>
      <c r="F2287" s="28"/>
      <c r="G2287" s="28"/>
      <c r="H2287" s="28"/>
    </row>
    <row r="2288" spans="4:8" s="25" customFormat="1" ht="11.25" customHeight="1">
      <c r="D2288" s="28"/>
      <c r="E2288" s="28"/>
      <c r="F2288" s="28"/>
      <c r="G2288" s="28"/>
      <c r="H2288" s="28"/>
    </row>
    <row r="2289" spans="4:8" s="25" customFormat="1" ht="11.25" customHeight="1">
      <c r="D2289" s="28"/>
      <c r="E2289" s="28"/>
      <c r="F2289" s="28"/>
      <c r="G2289" s="28"/>
      <c r="H2289" s="28"/>
    </row>
    <row r="2290" spans="4:8" s="25" customFormat="1" ht="11.25" customHeight="1">
      <c r="D2290" s="28"/>
      <c r="E2290" s="28"/>
      <c r="F2290" s="28"/>
      <c r="G2290" s="28"/>
      <c r="H2290" s="28"/>
    </row>
    <row r="2291" spans="4:8" s="25" customFormat="1" ht="11.25" customHeight="1">
      <c r="D2291" s="28"/>
      <c r="E2291" s="28"/>
      <c r="F2291" s="28"/>
      <c r="G2291" s="28"/>
      <c r="H2291" s="28"/>
    </row>
    <row r="2292" spans="4:8" s="25" customFormat="1" ht="11.25" customHeight="1">
      <c r="D2292" s="28"/>
      <c r="E2292" s="28"/>
      <c r="F2292" s="28"/>
      <c r="G2292" s="28"/>
      <c r="H2292" s="28"/>
    </row>
    <row r="2293" spans="4:8" s="25" customFormat="1" ht="11.25" customHeight="1">
      <c r="D2293" s="28"/>
      <c r="E2293" s="28"/>
      <c r="F2293" s="28"/>
      <c r="G2293" s="28"/>
      <c r="H2293" s="28"/>
    </row>
    <row r="2294" spans="4:8" s="25" customFormat="1" ht="11.25" customHeight="1">
      <c r="D2294" s="28"/>
      <c r="E2294" s="28"/>
      <c r="F2294" s="28"/>
      <c r="G2294" s="28"/>
      <c r="H2294" s="28"/>
    </row>
    <row r="2295" spans="4:8" s="25" customFormat="1" ht="11.25" customHeight="1">
      <c r="D2295" s="28"/>
      <c r="E2295" s="28"/>
      <c r="F2295" s="28"/>
      <c r="G2295" s="28"/>
      <c r="H2295" s="28"/>
    </row>
    <row r="2296" spans="4:8" s="25" customFormat="1" ht="11.25" customHeight="1">
      <c r="D2296" s="28"/>
      <c r="E2296" s="28"/>
      <c r="F2296" s="28"/>
      <c r="G2296" s="28"/>
      <c r="H2296" s="28"/>
    </row>
    <row r="2297" spans="4:8" s="25" customFormat="1" ht="11.25" customHeight="1">
      <c r="D2297" s="28"/>
      <c r="E2297" s="28"/>
      <c r="F2297" s="28"/>
      <c r="G2297" s="28"/>
      <c r="H2297" s="28"/>
    </row>
    <row r="2298" spans="4:8" s="25" customFormat="1" ht="11.25" customHeight="1">
      <c r="D2298" s="28"/>
      <c r="E2298" s="28"/>
      <c r="F2298" s="28"/>
      <c r="G2298" s="28"/>
      <c r="H2298" s="28"/>
    </row>
    <row r="2299" spans="4:8" s="25" customFormat="1" ht="11.25" customHeight="1">
      <c r="D2299" s="28"/>
      <c r="E2299" s="28"/>
      <c r="F2299" s="28"/>
      <c r="G2299" s="28"/>
      <c r="H2299" s="28"/>
    </row>
    <row r="2300" spans="4:8" s="25" customFormat="1" ht="11.25" customHeight="1">
      <c r="D2300" s="28"/>
      <c r="E2300" s="28"/>
      <c r="F2300" s="28"/>
      <c r="G2300" s="28"/>
      <c r="H2300" s="28"/>
    </row>
    <row r="2301" spans="4:8" s="25" customFormat="1" ht="11.25" customHeight="1">
      <c r="D2301" s="28"/>
      <c r="E2301" s="28"/>
      <c r="F2301" s="28"/>
      <c r="G2301" s="28"/>
      <c r="H2301" s="28"/>
    </row>
    <row r="2302" spans="4:8" s="25" customFormat="1" ht="11.25" customHeight="1">
      <c r="D2302" s="28"/>
      <c r="E2302" s="28"/>
      <c r="F2302" s="28"/>
      <c r="G2302" s="28"/>
      <c r="H2302" s="28"/>
    </row>
    <row r="2303" spans="4:8" s="25" customFormat="1" ht="11.25" customHeight="1">
      <c r="D2303" s="28"/>
      <c r="E2303" s="28"/>
      <c r="F2303" s="28"/>
      <c r="G2303" s="28"/>
      <c r="H2303" s="28"/>
    </row>
    <row r="2304" spans="4:8" s="25" customFormat="1" ht="11.25" customHeight="1">
      <c r="D2304" s="28"/>
      <c r="E2304" s="28"/>
      <c r="F2304" s="28"/>
      <c r="G2304" s="28"/>
      <c r="H2304" s="28"/>
    </row>
    <row r="2305" spans="4:8" s="25" customFormat="1" ht="11.25" customHeight="1">
      <c r="D2305" s="28"/>
      <c r="E2305" s="28"/>
      <c r="F2305" s="28"/>
      <c r="G2305" s="28"/>
      <c r="H2305" s="28"/>
    </row>
    <row r="2306" spans="4:8" s="25" customFormat="1" ht="11.25" customHeight="1">
      <c r="D2306" s="28"/>
      <c r="E2306" s="28"/>
      <c r="F2306" s="28"/>
      <c r="G2306" s="28"/>
      <c r="H2306" s="28"/>
    </row>
    <row r="2307" spans="4:8" s="25" customFormat="1" ht="11.25" customHeight="1">
      <c r="D2307" s="28"/>
      <c r="E2307" s="28"/>
      <c r="F2307" s="28"/>
      <c r="G2307" s="28"/>
      <c r="H2307" s="28"/>
    </row>
    <row r="2308" spans="4:8" s="25" customFormat="1" ht="11.25" customHeight="1">
      <c r="D2308" s="28"/>
      <c r="E2308" s="28"/>
      <c r="F2308" s="28"/>
      <c r="G2308" s="28"/>
      <c r="H2308" s="28"/>
    </row>
    <row r="2309" spans="4:8" s="25" customFormat="1" ht="11.25" customHeight="1">
      <c r="D2309" s="28"/>
      <c r="E2309" s="28"/>
      <c r="F2309" s="28"/>
      <c r="G2309" s="28"/>
      <c r="H2309" s="28"/>
    </row>
    <row r="2310" spans="4:8" s="25" customFormat="1" ht="11.25" customHeight="1">
      <c r="D2310" s="28"/>
      <c r="E2310" s="28"/>
      <c r="F2310" s="28"/>
      <c r="G2310" s="28"/>
      <c r="H2310" s="28"/>
    </row>
    <row r="2311" spans="4:8" s="25" customFormat="1" ht="11.25" customHeight="1">
      <c r="D2311" s="28"/>
      <c r="E2311" s="28"/>
      <c r="F2311" s="28"/>
      <c r="G2311" s="28"/>
      <c r="H2311" s="28"/>
    </row>
    <row r="2312" spans="4:8" s="25" customFormat="1" ht="11.25" customHeight="1">
      <c r="D2312" s="28"/>
      <c r="E2312" s="28"/>
      <c r="F2312" s="28"/>
      <c r="G2312" s="28"/>
      <c r="H2312" s="28"/>
    </row>
    <row r="2313" spans="4:8" s="25" customFormat="1" ht="11.25" customHeight="1">
      <c r="D2313" s="28"/>
      <c r="E2313" s="28"/>
      <c r="F2313" s="28"/>
      <c r="G2313" s="28"/>
      <c r="H2313" s="28"/>
    </row>
    <row r="2314" spans="4:8" s="25" customFormat="1" ht="11.25" customHeight="1">
      <c r="D2314" s="28"/>
      <c r="E2314" s="28"/>
      <c r="F2314" s="28"/>
      <c r="G2314" s="28"/>
      <c r="H2314" s="28"/>
    </row>
    <row r="2315" spans="4:8" s="25" customFormat="1" ht="11.25" customHeight="1">
      <c r="D2315" s="28"/>
      <c r="E2315" s="28"/>
      <c r="F2315" s="28"/>
      <c r="G2315" s="28"/>
      <c r="H2315" s="28"/>
    </row>
    <row r="2316" spans="4:8" s="25" customFormat="1" ht="11.25" customHeight="1">
      <c r="D2316" s="28"/>
      <c r="E2316" s="28"/>
      <c r="F2316" s="28"/>
      <c r="G2316" s="28"/>
      <c r="H2316" s="28"/>
    </row>
    <row r="2317" spans="4:8" s="25" customFormat="1" ht="11.25" customHeight="1">
      <c r="D2317" s="28"/>
      <c r="E2317" s="28"/>
      <c r="F2317" s="28"/>
      <c r="G2317" s="28"/>
      <c r="H2317" s="28"/>
    </row>
    <row r="2318" spans="4:8" s="25" customFormat="1" ht="11.25" customHeight="1">
      <c r="D2318" s="28"/>
      <c r="E2318" s="28"/>
      <c r="F2318" s="28"/>
      <c r="G2318" s="28"/>
      <c r="H2318" s="28"/>
    </row>
    <row r="2319" spans="4:8" s="25" customFormat="1" ht="11.25" customHeight="1">
      <c r="D2319" s="28"/>
      <c r="E2319" s="28"/>
      <c r="F2319" s="28"/>
      <c r="G2319" s="28"/>
      <c r="H2319" s="28"/>
    </row>
    <row r="2320" spans="4:8" s="25" customFormat="1" ht="11.25" customHeight="1">
      <c r="D2320" s="28"/>
      <c r="E2320" s="28"/>
      <c r="F2320" s="28"/>
      <c r="G2320" s="28"/>
      <c r="H2320" s="28"/>
    </row>
    <row r="2321" spans="4:8" s="25" customFormat="1" ht="11.25" customHeight="1">
      <c r="D2321" s="28"/>
      <c r="E2321" s="28"/>
      <c r="F2321" s="28"/>
      <c r="G2321" s="28"/>
      <c r="H2321" s="28"/>
    </row>
    <row r="2322" spans="4:8" s="25" customFormat="1" ht="11.25" customHeight="1">
      <c r="D2322" s="28"/>
      <c r="E2322" s="28"/>
      <c r="F2322" s="28"/>
      <c r="G2322" s="28"/>
      <c r="H2322" s="28"/>
    </row>
    <row r="2323" spans="4:8" s="25" customFormat="1" ht="11.25" customHeight="1">
      <c r="D2323" s="28"/>
      <c r="E2323" s="28"/>
      <c r="F2323" s="28"/>
      <c r="G2323" s="28"/>
      <c r="H2323" s="28"/>
    </row>
    <row r="2324" spans="4:8" s="25" customFormat="1" ht="11.25" customHeight="1">
      <c r="D2324" s="28"/>
      <c r="E2324" s="28"/>
      <c r="F2324" s="28"/>
      <c r="G2324" s="28"/>
      <c r="H2324" s="28"/>
    </row>
    <row r="2325" spans="4:8" s="25" customFormat="1" ht="11.25" customHeight="1">
      <c r="D2325" s="28"/>
      <c r="E2325" s="28"/>
      <c r="F2325" s="28"/>
      <c r="G2325" s="28"/>
      <c r="H2325" s="28"/>
    </row>
    <row r="2326" spans="4:8" s="25" customFormat="1" ht="11.25" customHeight="1">
      <c r="D2326" s="28"/>
      <c r="E2326" s="28"/>
      <c r="F2326" s="28"/>
      <c r="G2326" s="28"/>
      <c r="H2326" s="28"/>
    </row>
    <row r="2327" spans="4:8" s="25" customFormat="1" ht="11.25" customHeight="1">
      <c r="D2327" s="28"/>
      <c r="E2327" s="28"/>
      <c r="F2327" s="28"/>
      <c r="G2327" s="28"/>
      <c r="H2327" s="28"/>
    </row>
    <row r="2328" spans="4:8" s="25" customFormat="1" ht="11.25" customHeight="1">
      <c r="D2328" s="28"/>
      <c r="E2328" s="28"/>
      <c r="F2328" s="28"/>
      <c r="G2328" s="28"/>
      <c r="H2328" s="28"/>
    </row>
    <row r="2329" spans="4:8" s="25" customFormat="1" ht="11.25" customHeight="1">
      <c r="D2329" s="28"/>
      <c r="E2329" s="28"/>
      <c r="F2329" s="28"/>
      <c r="G2329" s="28"/>
      <c r="H2329" s="28"/>
    </row>
    <row r="2330" spans="4:8" s="25" customFormat="1" ht="11.25" customHeight="1">
      <c r="D2330" s="28"/>
      <c r="E2330" s="28"/>
      <c r="F2330" s="28"/>
      <c r="G2330" s="28"/>
      <c r="H2330" s="28"/>
    </row>
    <row r="2331" spans="4:8" s="25" customFormat="1" ht="11.25" customHeight="1">
      <c r="D2331" s="28"/>
      <c r="E2331" s="28"/>
      <c r="F2331" s="28"/>
      <c r="G2331" s="28"/>
      <c r="H2331" s="28"/>
    </row>
    <row r="2332" spans="4:8" s="25" customFormat="1" ht="11.25" customHeight="1">
      <c r="D2332" s="28"/>
      <c r="E2332" s="28"/>
      <c r="F2332" s="28"/>
      <c r="G2332" s="28"/>
      <c r="H2332" s="28"/>
    </row>
    <row r="2333" spans="4:8" s="25" customFormat="1" ht="11.25" customHeight="1">
      <c r="D2333" s="28"/>
      <c r="E2333" s="28"/>
      <c r="F2333" s="28"/>
      <c r="G2333" s="28"/>
      <c r="H2333" s="28"/>
    </row>
    <row r="2334" spans="4:8" s="25" customFormat="1" ht="11.25" customHeight="1">
      <c r="D2334" s="28"/>
      <c r="E2334" s="28"/>
      <c r="F2334" s="28"/>
      <c r="G2334" s="28"/>
      <c r="H2334" s="28"/>
    </row>
    <row r="2335" spans="4:8" s="25" customFormat="1" ht="11.25" customHeight="1">
      <c r="D2335" s="28"/>
      <c r="E2335" s="28"/>
      <c r="F2335" s="28"/>
      <c r="G2335" s="28"/>
      <c r="H2335" s="28"/>
    </row>
    <row r="2336" spans="4:8" s="25" customFormat="1" ht="11.25" customHeight="1">
      <c r="D2336" s="28"/>
      <c r="E2336" s="28"/>
      <c r="F2336" s="28"/>
      <c r="G2336" s="28"/>
      <c r="H2336" s="28"/>
    </row>
    <row r="2337" spans="4:8" s="25" customFormat="1" ht="11.25" customHeight="1">
      <c r="D2337" s="28"/>
      <c r="E2337" s="28"/>
      <c r="F2337" s="28"/>
      <c r="G2337" s="28"/>
      <c r="H2337" s="28"/>
    </row>
    <row r="2338" spans="4:8" s="25" customFormat="1" ht="11.25" customHeight="1">
      <c r="D2338" s="28"/>
      <c r="E2338" s="28"/>
      <c r="F2338" s="28"/>
      <c r="G2338" s="28"/>
      <c r="H2338" s="28"/>
    </row>
    <row r="2339" spans="4:8" s="25" customFormat="1" ht="11.25" customHeight="1">
      <c r="D2339" s="28"/>
      <c r="E2339" s="28"/>
      <c r="F2339" s="28"/>
      <c r="G2339" s="28"/>
      <c r="H2339" s="28"/>
    </row>
    <row r="2340" spans="4:8" s="25" customFormat="1" ht="11.25" customHeight="1">
      <c r="D2340" s="28"/>
      <c r="E2340" s="28"/>
      <c r="F2340" s="28"/>
      <c r="G2340" s="28"/>
      <c r="H2340" s="28"/>
    </row>
    <row r="2341" spans="4:8" s="25" customFormat="1" ht="11.25" customHeight="1">
      <c r="D2341" s="28"/>
      <c r="E2341" s="28"/>
      <c r="F2341" s="28"/>
      <c r="G2341" s="28"/>
      <c r="H2341" s="28"/>
    </row>
    <row r="2342" spans="4:8" s="25" customFormat="1" ht="11.25" customHeight="1">
      <c r="D2342" s="28"/>
      <c r="E2342" s="28"/>
      <c r="F2342" s="28"/>
      <c r="G2342" s="28"/>
      <c r="H2342" s="28"/>
    </row>
    <row r="2343" spans="4:8" s="25" customFormat="1" ht="11.25" customHeight="1">
      <c r="D2343" s="28"/>
      <c r="E2343" s="28"/>
      <c r="F2343" s="28"/>
      <c r="G2343" s="28"/>
      <c r="H2343" s="28"/>
    </row>
    <row r="2344" spans="4:8" s="25" customFormat="1" ht="11.25" customHeight="1">
      <c r="D2344" s="28"/>
      <c r="E2344" s="28"/>
      <c r="F2344" s="28"/>
      <c r="G2344" s="28"/>
      <c r="H2344" s="28"/>
    </row>
    <row r="2345" spans="4:8" s="25" customFormat="1" ht="11.25" customHeight="1">
      <c r="D2345" s="28"/>
      <c r="E2345" s="28"/>
      <c r="F2345" s="28"/>
      <c r="G2345" s="28"/>
      <c r="H2345" s="28"/>
    </row>
    <row r="2346" spans="4:8" s="25" customFormat="1" ht="11.25" customHeight="1">
      <c r="D2346" s="28"/>
      <c r="E2346" s="28"/>
      <c r="F2346" s="28"/>
      <c r="G2346" s="28"/>
      <c r="H2346" s="28"/>
    </row>
    <row r="2347" spans="4:8" s="25" customFormat="1" ht="11.25" customHeight="1">
      <c r="D2347" s="28"/>
      <c r="E2347" s="28"/>
      <c r="F2347" s="28"/>
      <c r="G2347" s="28"/>
      <c r="H2347" s="28"/>
    </row>
    <row r="2348" spans="4:8" s="25" customFormat="1" ht="11.25" customHeight="1">
      <c r="D2348" s="28"/>
      <c r="E2348" s="28"/>
      <c r="F2348" s="28"/>
      <c r="G2348" s="28"/>
      <c r="H2348" s="28"/>
    </row>
    <row r="2349" spans="4:8" s="25" customFormat="1" ht="11.25" customHeight="1">
      <c r="D2349" s="28"/>
      <c r="E2349" s="28"/>
      <c r="F2349" s="28"/>
      <c r="G2349" s="28"/>
      <c r="H2349" s="28"/>
    </row>
    <row r="2350" spans="4:8" s="25" customFormat="1" ht="11.25" customHeight="1">
      <c r="D2350" s="28"/>
      <c r="E2350" s="28"/>
      <c r="F2350" s="28"/>
      <c r="G2350" s="28"/>
      <c r="H2350" s="28"/>
    </row>
    <row r="2351" spans="4:8" s="25" customFormat="1" ht="11.25" customHeight="1">
      <c r="D2351" s="28"/>
      <c r="E2351" s="28"/>
      <c r="F2351" s="28"/>
      <c r="G2351" s="28"/>
      <c r="H2351" s="28"/>
    </row>
    <row r="2352" spans="4:8" s="25" customFormat="1" ht="11.25" customHeight="1">
      <c r="D2352" s="28"/>
      <c r="E2352" s="28"/>
      <c r="F2352" s="28"/>
      <c r="G2352" s="28"/>
      <c r="H2352" s="28"/>
    </row>
    <row r="2353" spans="4:8" s="25" customFormat="1" ht="11.25" customHeight="1">
      <c r="D2353" s="28"/>
      <c r="E2353" s="28"/>
      <c r="F2353" s="28"/>
      <c r="G2353" s="28"/>
      <c r="H2353" s="28"/>
    </row>
    <row r="2354" spans="4:8" s="25" customFormat="1" ht="11.25" customHeight="1">
      <c r="D2354" s="28"/>
      <c r="E2354" s="28"/>
      <c r="F2354" s="28"/>
      <c r="G2354" s="28"/>
      <c r="H2354" s="28"/>
    </row>
    <row r="2355" spans="4:8" s="25" customFormat="1" ht="11.25" customHeight="1">
      <c r="D2355" s="28"/>
      <c r="E2355" s="28"/>
      <c r="F2355" s="28"/>
      <c r="G2355" s="28"/>
      <c r="H2355" s="28"/>
    </row>
    <row r="2356" spans="4:8" s="25" customFormat="1" ht="11.25" customHeight="1">
      <c r="D2356" s="28"/>
      <c r="E2356" s="28"/>
      <c r="F2356" s="28"/>
      <c r="G2356" s="28"/>
      <c r="H2356" s="28"/>
    </row>
    <row r="2357" spans="4:8" s="25" customFormat="1" ht="11.25" customHeight="1">
      <c r="D2357" s="28"/>
      <c r="E2357" s="28"/>
      <c r="F2357" s="28"/>
      <c r="G2357" s="28"/>
      <c r="H2357" s="28"/>
    </row>
    <row r="2358" spans="4:8" s="25" customFormat="1" ht="11.25" customHeight="1">
      <c r="D2358" s="28"/>
      <c r="E2358" s="28"/>
      <c r="F2358" s="28"/>
      <c r="G2358" s="28"/>
      <c r="H2358" s="28"/>
    </row>
    <row r="2359" spans="4:8" s="25" customFormat="1" ht="11.25" customHeight="1">
      <c r="D2359" s="28"/>
      <c r="E2359" s="28"/>
      <c r="F2359" s="28"/>
      <c r="G2359" s="28"/>
      <c r="H2359" s="28"/>
    </row>
    <row r="2360" spans="4:8" s="25" customFormat="1" ht="11.25" customHeight="1">
      <c r="D2360" s="28"/>
      <c r="E2360" s="28"/>
      <c r="F2360" s="28"/>
      <c r="G2360" s="28"/>
      <c r="H2360" s="28"/>
    </row>
    <row r="2361" spans="4:8" s="25" customFormat="1" ht="11.25" customHeight="1">
      <c r="D2361" s="28"/>
      <c r="E2361" s="28"/>
      <c r="F2361" s="28"/>
      <c r="G2361" s="28"/>
      <c r="H2361" s="28"/>
    </row>
    <row r="2362" spans="4:8" s="25" customFormat="1" ht="11.25" customHeight="1">
      <c r="D2362" s="28"/>
      <c r="E2362" s="28"/>
      <c r="F2362" s="28"/>
      <c r="G2362" s="28"/>
      <c r="H2362" s="28"/>
    </row>
    <row r="2363" spans="4:8" s="25" customFormat="1" ht="11.25" customHeight="1">
      <c r="D2363" s="28"/>
      <c r="E2363" s="28"/>
      <c r="F2363" s="28"/>
      <c r="G2363" s="28"/>
      <c r="H2363" s="28"/>
    </row>
    <row r="2364" spans="4:8" s="25" customFormat="1" ht="11.25" customHeight="1">
      <c r="D2364" s="28"/>
      <c r="E2364" s="28"/>
      <c r="F2364" s="28"/>
      <c r="G2364" s="28"/>
      <c r="H2364" s="28"/>
    </row>
    <row r="2365" spans="4:8" s="25" customFormat="1" ht="11.25" customHeight="1">
      <c r="D2365" s="28"/>
      <c r="E2365" s="28"/>
      <c r="F2365" s="28"/>
      <c r="G2365" s="28"/>
      <c r="H2365" s="28"/>
    </row>
    <row r="2366" spans="4:8" s="25" customFormat="1" ht="11.25" customHeight="1">
      <c r="D2366" s="28"/>
      <c r="E2366" s="28"/>
      <c r="F2366" s="28"/>
      <c r="G2366" s="28"/>
      <c r="H2366" s="28"/>
    </row>
    <row r="2367" spans="4:8" s="25" customFormat="1" ht="11.25" customHeight="1">
      <c r="D2367" s="28"/>
      <c r="E2367" s="28"/>
      <c r="F2367" s="28"/>
      <c r="G2367" s="28"/>
      <c r="H2367" s="28"/>
    </row>
    <row r="2368" spans="4:8" s="25" customFormat="1" ht="11.25" customHeight="1">
      <c r="D2368" s="28"/>
      <c r="E2368" s="28"/>
      <c r="F2368" s="28"/>
      <c r="G2368" s="28"/>
      <c r="H2368" s="28"/>
    </row>
    <row r="2369" spans="4:8" s="25" customFormat="1" ht="11.25" customHeight="1">
      <c r="D2369" s="28"/>
      <c r="E2369" s="28"/>
      <c r="F2369" s="28"/>
      <c r="G2369" s="28"/>
      <c r="H2369" s="28"/>
    </row>
    <row r="2370" spans="4:8" s="25" customFormat="1" ht="11.25" customHeight="1">
      <c r="D2370" s="28"/>
      <c r="E2370" s="28"/>
      <c r="F2370" s="28"/>
      <c r="G2370" s="28"/>
      <c r="H2370" s="28"/>
    </row>
    <row r="2371" spans="4:8" s="25" customFormat="1" ht="11.25" customHeight="1">
      <c r="D2371" s="28"/>
      <c r="E2371" s="28"/>
      <c r="F2371" s="28"/>
      <c r="G2371" s="28"/>
      <c r="H2371" s="28"/>
    </row>
    <row r="2372" spans="4:8" s="25" customFormat="1" ht="11.25" customHeight="1">
      <c r="D2372" s="28"/>
      <c r="E2372" s="28"/>
      <c r="F2372" s="28"/>
      <c r="G2372" s="28"/>
      <c r="H2372" s="28"/>
    </row>
    <row r="2373" spans="4:8" s="25" customFormat="1" ht="11.25" customHeight="1">
      <c r="D2373" s="28"/>
      <c r="E2373" s="28"/>
      <c r="F2373" s="28"/>
      <c r="G2373" s="28"/>
      <c r="H2373" s="28"/>
    </row>
    <row r="2374" spans="4:8" s="25" customFormat="1" ht="11.25" customHeight="1">
      <c r="D2374" s="28"/>
      <c r="E2374" s="28"/>
      <c r="F2374" s="28"/>
      <c r="G2374" s="28"/>
      <c r="H2374" s="28"/>
    </row>
    <row r="2375" spans="4:8" s="25" customFormat="1" ht="11.25" customHeight="1">
      <c r="D2375" s="28"/>
      <c r="E2375" s="28"/>
      <c r="F2375" s="28"/>
      <c r="G2375" s="28"/>
      <c r="H2375" s="28"/>
    </row>
    <row r="2376" spans="4:8" s="25" customFormat="1" ht="11.25" customHeight="1">
      <c r="D2376" s="28"/>
      <c r="E2376" s="28"/>
      <c r="F2376" s="28"/>
      <c r="G2376" s="28"/>
      <c r="H2376" s="28"/>
    </row>
    <row r="2377" spans="4:8" s="25" customFormat="1" ht="11.25" customHeight="1">
      <c r="D2377" s="28"/>
      <c r="E2377" s="28"/>
      <c r="F2377" s="28"/>
      <c r="G2377" s="28"/>
      <c r="H2377" s="28"/>
    </row>
    <row r="2378" spans="4:8" s="25" customFormat="1" ht="11.25" customHeight="1">
      <c r="D2378" s="28"/>
      <c r="E2378" s="28"/>
      <c r="F2378" s="28"/>
      <c r="G2378" s="28"/>
      <c r="H2378" s="28"/>
    </row>
    <row r="2379" spans="4:8" s="25" customFormat="1" ht="11.25" customHeight="1">
      <c r="D2379" s="28"/>
      <c r="E2379" s="28"/>
      <c r="F2379" s="28"/>
      <c r="G2379" s="28"/>
      <c r="H2379" s="28"/>
    </row>
    <row r="2380" spans="4:8" s="25" customFormat="1" ht="11.25" customHeight="1">
      <c r="D2380" s="28"/>
      <c r="E2380" s="28"/>
      <c r="F2380" s="28"/>
      <c r="G2380" s="28"/>
      <c r="H2380" s="28"/>
    </row>
    <row r="2381" spans="4:8" s="25" customFormat="1" ht="11.25" customHeight="1">
      <c r="D2381" s="28"/>
      <c r="E2381" s="28"/>
      <c r="F2381" s="28"/>
      <c r="G2381" s="28"/>
      <c r="H2381" s="28"/>
    </row>
    <row r="2382" spans="4:8" s="25" customFormat="1" ht="11.25" customHeight="1">
      <c r="D2382" s="28"/>
      <c r="E2382" s="28"/>
      <c r="F2382" s="28"/>
      <c r="G2382" s="28"/>
      <c r="H2382" s="28"/>
    </row>
    <row r="2383" spans="4:8" s="25" customFormat="1" ht="11.25" customHeight="1">
      <c r="D2383" s="28"/>
      <c r="E2383" s="28"/>
      <c r="F2383" s="28"/>
      <c r="G2383" s="28"/>
      <c r="H2383" s="28"/>
    </row>
    <row r="2384" spans="4:8" s="25" customFormat="1" ht="11.25" customHeight="1">
      <c r="D2384" s="28"/>
      <c r="E2384" s="28"/>
      <c r="F2384" s="28"/>
      <c r="G2384" s="28"/>
      <c r="H2384" s="28"/>
    </row>
    <row r="2385" spans="4:8" s="25" customFormat="1" ht="11.25" customHeight="1">
      <c r="D2385" s="28"/>
      <c r="E2385" s="28"/>
      <c r="F2385" s="28"/>
      <c r="G2385" s="28"/>
      <c r="H2385" s="28"/>
    </row>
    <row r="2386" spans="4:8" s="25" customFormat="1" ht="11.25" customHeight="1">
      <c r="D2386" s="28"/>
      <c r="E2386" s="28"/>
      <c r="F2386" s="28"/>
      <c r="G2386" s="28"/>
      <c r="H2386" s="28"/>
    </row>
    <row r="2387" spans="4:8" s="25" customFormat="1" ht="11.25" customHeight="1">
      <c r="D2387" s="28"/>
      <c r="E2387" s="28"/>
      <c r="F2387" s="28"/>
      <c r="G2387" s="28"/>
      <c r="H2387" s="28"/>
    </row>
    <row r="2388" spans="4:8" s="25" customFormat="1" ht="11.25" customHeight="1">
      <c r="D2388" s="28"/>
      <c r="E2388" s="28"/>
      <c r="F2388" s="28"/>
      <c r="G2388" s="28"/>
      <c r="H2388" s="28"/>
    </row>
    <row r="2389" spans="4:8" s="25" customFormat="1" ht="11.25" customHeight="1">
      <c r="D2389" s="28"/>
      <c r="E2389" s="28"/>
      <c r="F2389" s="28"/>
      <c r="G2389" s="28"/>
      <c r="H2389" s="28"/>
    </row>
    <row r="2390" spans="4:8" s="25" customFormat="1" ht="11.25" customHeight="1">
      <c r="D2390" s="28"/>
      <c r="E2390" s="28"/>
      <c r="F2390" s="28"/>
      <c r="G2390" s="28"/>
      <c r="H2390" s="28"/>
    </row>
    <row r="2391" spans="4:8" s="25" customFormat="1" ht="11.25" customHeight="1">
      <c r="D2391" s="28"/>
      <c r="E2391" s="28"/>
      <c r="F2391" s="28"/>
      <c r="G2391" s="28"/>
      <c r="H2391" s="28"/>
    </row>
    <row r="2392" spans="4:8" s="25" customFormat="1" ht="11.25" customHeight="1">
      <c r="D2392" s="28"/>
      <c r="E2392" s="28"/>
      <c r="F2392" s="28"/>
      <c r="G2392" s="28"/>
      <c r="H2392" s="28"/>
    </row>
    <row r="2393" spans="4:8" s="25" customFormat="1" ht="11.25" customHeight="1">
      <c r="D2393" s="28"/>
      <c r="E2393" s="28"/>
      <c r="F2393" s="28"/>
      <c r="G2393" s="28"/>
      <c r="H2393" s="28"/>
    </row>
    <row r="2394" spans="4:8" s="25" customFormat="1" ht="11.25" customHeight="1">
      <c r="D2394" s="28"/>
      <c r="E2394" s="28"/>
      <c r="F2394" s="28"/>
      <c r="G2394" s="28"/>
      <c r="H2394" s="28"/>
    </row>
    <row r="2395" spans="4:8" s="25" customFormat="1" ht="11.25" customHeight="1">
      <c r="D2395" s="28"/>
      <c r="E2395" s="28"/>
      <c r="F2395" s="28"/>
      <c r="G2395" s="28"/>
      <c r="H2395" s="28"/>
    </row>
    <row r="2396" spans="4:8" s="25" customFormat="1" ht="11.25" customHeight="1">
      <c r="D2396" s="28"/>
      <c r="E2396" s="28"/>
      <c r="F2396" s="28"/>
      <c r="G2396" s="28"/>
      <c r="H2396" s="28"/>
    </row>
    <row r="2397" spans="4:8" s="25" customFormat="1" ht="11.25" customHeight="1">
      <c r="D2397" s="28"/>
      <c r="E2397" s="28"/>
      <c r="F2397" s="28"/>
      <c r="G2397" s="28"/>
      <c r="H2397" s="28"/>
    </row>
    <row r="2398" spans="4:8" s="25" customFormat="1" ht="11.25" customHeight="1">
      <c r="D2398" s="28"/>
      <c r="E2398" s="28"/>
      <c r="F2398" s="28"/>
      <c r="G2398" s="28"/>
      <c r="H2398" s="28"/>
    </row>
    <row r="2399" spans="4:8" s="25" customFormat="1" ht="11.25" customHeight="1">
      <c r="D2399" s="28"/>
      <c r="E2399" s="28"/>
      <c r="F2399" s="28"/>
      <c r="G2399" s="28"/>
      <c r="H2399" s="28"/>
    </row>
    <row r="2400" spans="4:8" s="25" customFormat="1" ht="11.25" customHeight="1">
      <c r="D2400" s="28"/>
      <c r="E2400" s="28"/>
      <c r="F2400" s="28"/>
      <c r="G2400" s="28"/>
      <c r="H2400" s="28"/>
    </row>
    <row r="2401" spans="4:8" s="25" customFormat="1" ht="11.25" customHeight="1">
      <c r="D2401" s="28"/>
      <c r="E2401" s="28"/>
      <c r="F2401" s="28"/>
      <c r="G2401" s="28"/>
      <c r="H2401" s="28"/>
    </row>
    <row r="2402" spans="4:8" s="25" customFormat="1" ht="11.25" customHeight="1">
      <c r="D2402" s="28"/>
      <c r="E2402" s="28"/>
      <c r="F2402" s="28"/>
      <c r="G2402" s="28"/>
      <c r="H2402" s="28"/>
    </row>
    <row r="2403" spans="4:8" s="25" customFormat="1" ht="11.25" customHeight="1">
      <c r="D2403" s="28"/>
      <c r="E2403" s="28"/>
      <c r="F2403" s="28"/>
      <c r="G2403" s="28"/>
      <c r="H2403" s="28"/>
    </row>
    <row r="2404" spans="4:8" s="25" customFormat="1" ht="11.25" customHeight="1">
      <c r="D2404" s="28"/>
      <c r="E2404" s="28"/>
      <c r="F2404" s="28"/>
      <c r="G2404" s="28"/>
      <c r="H2404" s="28"/>
    </row>
    <row r="2405" spans="4:8" s="25" customFormat="1" ht="11.25" customHeight="1">
      <c r="D2405" s="28"/>
      <c r="E2405" s="28"/>
      <c r="F2405" s="28"/>
      <c r="G2405" s="28"/>
      <c r="H2405" s="28"/>
    </row>
    <row r="2406" spans="4:8" s="25" customFormat="1" ht="11.25" customHeight="1">
      <c r="D2406" s="28"/>
      <c r="E2406" s="28"/>
      <c r="F2406" s="28"/>
      <c r="G2406" s="28"/>
      <c r="H2406" s="28"/>
    </row>
    <row r="2407" spans="4:8" s="25" customFormat="1" ht="11.25" customHeight="1">
      <c r="D2407" s="28"/>
      <c r="E2407" s="28"/>
      <c r="F2407" s="28"/>
      <c r="G2407" s="28"/>
      <c r="H2407" s="28"/>
    </row>
    <row r="2408" spans="4:8" s="25" customFormat="1" ht="11.25" customHeight="1">
      <c r="D2408" s="28"/>
      <c r="E2408" s="28"/>
      <c r="F2408" s="28"/>
      <c r="G2408" s="28"/>
      <c r="H2408" s="28"/>
    </row>
    <row r="2409" spans="4:8" s="25" customFormat="1" ht="11.25" customHeight="1">
      <c r="D2409" s="28"/>
      <c r="E2409" s="28"/>
      <c r="F2409" s="28"/>
      <c r="G2409" s="28"/>
      <c r="H2409" s="28"/>
    </row>
    <row r="2410" spans="4:8" s="25" customFormat="1" ht="11.25" customHeight="1">
      <c r="D2410" s="28"/>
      <c r="E2410" s="28"/>
      <c r="F2410" s="28"/>
      <c r="G2410" s="28"/>
      <c r="H2410" s="28"/>
    </row>
    <row r="2411" spans="4:8" s="25" customFormat="1" ht="11.25" customHeight="1">
      <c r="D2411" s="28"/>
      <c r="E2411" s="28"/>
      <c r="F2411" s="28"/>
      <c r="G2411" s="28"/>
      <c r="H2411" s="28"/>
    </row>
    <row r="2412" spans="4:8" s="25" customFormat="1" ht="11.25" customHeight="1">
      <c r="D2412" s="28"/>
      <c r="E2412" s="28"/>
      <c r="F2412" s="28"/>
      <c r="G2412" s="28"/>
      <c r="H2412" s="28"/>
    </row>
    <row r="2413" spans="4:8" s="25" customFormat="1" ht="11.25" customHeight="1">
      <c r="D2413" s="28"/>
      <c r="E2413" s="28"/>
      <c r="F2413" s="28"/>
      <c r="G2413" s="28"/>
      <c r="H2413" s="28"/>
    </row>
    <row r="2414" spans="4:8" s="25" customFormat="1" ht="11.25" customHeight="1">
      <c r="D2414" s="28"/>
      <c r="E2414" s="28"/>
      <c r="F2414" s="28"/>
      <c r="G2414" s="28"/>
      <c r="H2414" s="28"/>
    </row>
    <row r="2415" spans="4:8" s="25" customFormat="1" ht="11.25" customHeight="1">
      <c r="D2415" s="28"/>
      <c r="E2415" s="28"/>
      <c r="F2415" s="28"/>
      <c r="G2415" s="28"/>
      <c r="H2415" s="28"/>
    </row>
    <row r="2416" spans="4:8" s="25" customFormat="1" ht="11.25" customHeight="1">
      <c r="D2416" s="28"/>
      <c r="E2416" s="28"/>
      <c r="F2416" s="28"/>
      <c r="G2416" s="28"/>
      <c r="H2416" s="28"/>
    </row>
    <row r="2417" spans="4:8" s="25" customFormat="1" ht="11.25" customHeight="1">
      <c r="D2417" s="28"/>
      <c r="E2417" s="28"/>
      <c r="F2417" s="28"/>
      <c r="G2417" s="28"/>
      <c r="H2417" s="28"/>
    </row>
    <row r="2418" spans="4:8" s="25" customFormat="1" ht="11.25" customHeight="1">
      <c r="D2418" s="28"/>
      <c r="E2418" s="28"/>
      <c r="F2418" s="28"/>
      <c r="G2418" s="28"/>
      <c r="H2418" s="28"/>
    </row>
    <row r="2419" spans="4:8" s="25" customFormat="1" ht="11.25" customHeight="1">
      <c r="D2419" s="28"/>
      <c r="E2419" s="28"/>
      <c r="F2419" s="28"/>
      <c r="G2419" s="28"/>
      <c r="H2419" s="28"/>
    </row>
    <row r="2420" spans="4:8" s="25" customFormat="1" ht="11.25" customHeight="1">
      <c r="D2420" s="28"/>
      <c r="E2420" s="28"/>
      <c r="F2420" s="28"/>
      <c r="G2420" s="28"/>
      <c r="H2420" s="28"/>
    </row>
    <row r="2421" spans="4:8" s="25" customFormat="1" ht="11.25" customHeight="1">
      <c r="D2421" s="28"/>
      <c r="E2421" s="28"/>
      <c r="F2421" s="28"/>
      <c r="G2421" s="28"/>
      <c r="H2421" s="28"/>
    </row>
    <row r="2422" spans="4:8" s="25" customFormat="1" ht="11.25" customHeight="1">
      <c r="D2422" s="28"/>
      <c r="E2422" s="28"/>
      <c r="F2422" s="28"/>
      <c r="G2422" s="28"/>
      <c r="H2422" s="28"/>
    </row>
    <row r="2423" spans="4:8" s="25" customFormat="1" ht="11.25" customHeight="1">
      <c r="D2423" s="28"/>
      <c r="E2423" s="28"/>
      <c r="F2423" s="28"/>
      <c r="G2423" s="28"/>
      <c r="H2423" s="28"/>
    </row>
    <row r="2424" spans="4:8" s="25" customFormat="1" ht="11.25" customHeight="1">
      <c r="D2424" s="28"/>
      <c r="E2424" s="28"/>
      <c r="F2424" s="28"/>
      <c r="G2424" s="28"/>
      <c r="H2424" s="28"/>
    </row>
    <row r="2425" spans="4:8" s="25" customFormat="1" ht="11.25" customHeight="1">
      <c r="D2425" s="28"/>
      <c r="E2425" s="28"/>
      <c r="F2425" s="28"/>
      <c r="G2425" s="28"/>
      <c r="H2425" s="28"/>
    </row>
    <row r="2426" spans="4:8" s="25" customFormat="1" ht="11.25" customHeight="1">
      <c r="D2426" s="28"/>
      <c r="E2426" s="28"/>
      <c r="F2426" s="28"/>
      <c r="G2426" s="28"/>
      <c r="H2426" s="28"/>
    </row>
    <row r="2427" spans="4:8" s="25" customFormat="1" ht="11.25" customHeight="1">
      <c r="D2427" s="28"/>
      <c r="E2427" s="28"/>
      <c r="F2427" s="28"/>
      <c r="G2427" s="28"/>
      <c r="H2427" s="28"/>
    </row>
    <row r="2428" spans="4:8" s="25" customFormat="1" ht="11.25" customHeight="1">
      <c r="D2428" s="28"/>
      <c r="E2428" s="28"/>
      <c r="F2428" s="28"/>
      <c r="G2428" s="28"/>
      <c r="H2428" s="28"/>
    </row>
    <row r="2429" spans="4:8" s="25" customFormat="1" ht="11.25" customHeight="1">
      <c r="D2429" s="28"/>
      <c r="E2429" s="28"/>
      <c r="F2429" s="28"/>
      <c r="G2429" s="28"/>
      <c r="H2429" s="28"/>
    </row>
    <row r="2430" spans="4:8" s="25" customFormat="1" ht="11.25" customHeight="1">
      <c r="D2430" s="28"/>
      <c r="E2430" s="28"/>
      <c r="F2430" s="28"/>
      <c r="G2430" s="28"/>
      <c r="H2430" s="28"/>
    </row>
    <row r="2431" spans="4:8" s="25" customFormat="1" ht="11.25" customHeight="1">
      <c r="D2431" s="28"/>
      <c r="E2431" s="28"/>
      <c r="F2431" s="28"/>
      <c r="G2431" s="28"/>
      <c r="H2431" s="28"/>
    </row>
    <row r="2432" spans="4:8" s="25" customFormat="1" ht="11.25" customHeight="1">
      <c r="D2432" s="28"/>
      <c r="E2432" s="28"/>
      <c r="F2432" s="28"/>
      <c r="G2432" s="28"/>
      <c r="H2432" s="28"/>
    </row>
    <row r="2433" spans="4:8" s="25" customFormat="1" ht="11.25" customHeight="1">
      <c r="D2433" s="28"/>
      <c r="E2433" s="28"/>
      <c r="F2433" s="28"/>
      <c r="G2433" s="28"/>
      <c r="H2433" s="28"/>
    </row>
    <row r="2434" spans="4:8" s="25" customFormat="1" ht="11.25" customHeight="1">
      <c r="D2434" s="28"/>
      <c r="E2434" s="28"/>
      <c r="F2434" s="28"/>
      <c r="G2434" s="28"/>
      <c r="H2434" s="28"/>
    </row>
    <row r="2435" spans="4:8" s="25" customFormat="1" ht="11.25" customHeight="1">
      <c r="D2435" s="28"/>
      <c r="E2435" s="28"/>
      <c r="F2435" s="28"/>
      <c r="G2435" s="28"/>
      <c r="H2435" s="28"/>
    </row>
    <row r="2436" spans="4:8" s="25" customFormat="1" ht="11.25" customHeight="1">
      <c r="D2436" s="28"/>
      <c r="E2436" s="28"/>
      <c r="F2436" s="28"/>
      <c r="G2436" s="28"/>
      <c r="H2436" s="28"/>
    </row>
    <row r="2437" spans="4:8" s="25" customFormat="1" ht="11.25" customHeight="1">
      <c r="D2437" s="28"/>
      <c r="E2437" s="28"/>
      <c r="F2437" s="28"/>
      <c r="G2437" s="28"/>
      <c r="H2437" s="28"/>
    </row>
    <row r="2438" spans="4:8" s="25" customFormat="1" ht="11.25" customHeight="1">
      <c r="D2438" s="28"/>
      <c r="E2438" s="28"/>
      <c r="F2438" s="28"/>
      <c r="G2438" s="28"/>
      <c r="H2438" s="28"/>
    </row>
    <row r="2439" spans="4:8" s="25" customFormat="1" ht="11.25" customHeight="1">
      <c r="D2439" s="28"/>
      <c r="E2439" s="28"/>
      <c r="F2439" s="28"/>
      <c r="G2439" s="28"/>
      <c r="H2439" s="28"/>
    </row>
    <row r="2440" spans="4:8" s="25" customFormat="1" ht="11.25" customHeight="1">
      <c r="D2440" s="28"/>
      <c r="E2440" s="28"/>
      <c r="F2440" s="28"/>
      <c r="G2440" s="28"/>
      <c r="H2440" s="28"/>
    </row>
    <row r="2441" spans="4:8" s="25" customFormat="1" ht="11.25" customHeight="1">
      <c r="D2441" s="28"/>
      <c r="E2441" s="28"/>
      <c r="F2441" s="28"/>
      <c r="G2441" s="28"/>
      <c r="H2441" s="28"/>
    </row>
    <row r="2442" spans="4:8" s="25" customFormat="1" ht="11.25" customHeight="1">
      <c r="D2442" s="28"/>
      <c r="E2442" s="28"/>
      <c r="F2442" s="28"/>
      <c r="G2442" s="28"/>
      <c r="H2442" s="28"/>
    </row>
    <row r="2443" spans="4:8" s="25" customFormat="1" ht="11.25" customHeight="1">
      <c r="D2443" s="28"/>
      <c r="E2443" s="28"/>
      <c r="F2443" s="28"/>
      <c r="G2443" s="28"/>
      <c r="H2443" s="28"/>
    </row>
    <row r="2444" spans="4:8" s="25" customFormat="1" ht="11.25" customHeight="1">
      <c r="D2444" s="28"/>
      <c r="E2444" s="28"/>
      <c r="F2444" s="28"/>
      <c r="G2444" s="28"/>
      <c r="H2444" s="28"/>
    </row>
    <row r="2445" spans="4:8" s="25" customFormat="1" ht="11.25" customHeight="1">
      <c r="D2445" s="28"/>
      <c r="E2445" s="28"/>
      <c r="F2445" s="28"/>
      <c r="G2445" s="28"/>
      <c r="H2445" s="28"/>
    </row>
    <row r="2446" spans="4:8" s="25" customFormat="1" ht="11.25" customHeight="1">
      <c r="D2446" s="28"/>
      <c r="E2446" s="28"/>
      <c r="F2446" s="28"/>
      <c r="G2446" s="28"/>
      <c r="H2446" s="28"/>
    </row>
    <row r="2447" spans="4:8" s="25" customFormat="1" ht="11.25" customHeight="1">
      <c r="D2447" s="28"/>
      <c r="E2447" s="28"/>
      <c r="F2447" s="28"/>
      <c r="G2447" s="28"/>
      <c r="H2447" s="28"/>
    </row>
    <row r="2448" spans="4:8" s="25" customFormat="1" ht="11.25" customHeight="1">
      <c r="D2448" s="28"/>
      <c r="E2448" s="28"/>
      <c r="F2448" s="28"/>
      <c r="G2448" s="28"/>
      <c r="H2448" s="28"/>
    </row>
    <row r="2449" spans="4:8" s="25" customFormat="1" ht="11.25" customHeight="1">
      <c r="D2449" s="28"/>
      <c r="E2449" s="28"/>
      <c r="F2449" s="28"/>
      <c r="G2449" s="28"/>
      <c r="H2449" s="28"/>
    </row>
    <row r="2450" spans="4:8" s="25" customFormat="1" ht="11.25" customHeight="1">
      <c r="D2450" s="28"/>
      <c r="E2450" s="28"/>
      <c r="F2450" s="28"/>
      <c r="G2450" s="28"/>
      <c r="H2450" s="28"/>
    </row>
    <row r="2451" spans="4:8" s="25" customFormat="1" ht="11.25" customHeight="1">
      <c r="D2451" s="28"/>
      <c r="E2451" s="28"/>
      <c r="F2451" s="28"/>
      <c r="G2451" s="28"/>
      <c r="H2451" s="28"/>
    </row>
    <row r="2452" spans="4:8" s="25" customFormat="1" ht="11.25" customHeight="1">
      <c r="D2452" s="28"/>
      <c r="E2452" s="28"/>
      <c r="F2452" s="28"/>
      <c r="G2452" s="28"/>
      <c r="H2452" s="28"/>
    </row>
    <row r="2453" spans="4:8" s="25" customFormat="1" ht="11.25" customHeight="1">
      <c r="D2453" s="28"/>
      <c r="E2453" s="28"/>
      <c r="F2453" s="28"/>
      <c r="G2453" s="28"/>
      <c r="H2453" s="28"/>
    </row>
    <row r="2454" spans="4:8" s="25" customFormat="1" ht="11.25" customHeight="1">
      <c r="D2454" s="28"/>
      <c r="E2454" s="28"/>
      <c r="F2454" s="28"/>
      <c r="G2454" s="28"/>
      <c r="H2454" s="28"/>
    </row>
    <row r="2455" spans="4:8" s="25" customFormat="1" ht="11.25" customHeight="1">
      <c r="D2455" s="28"/>
      <c r="E2455" s="28"/>
      <c r="F2455" s="28"/>
      <c r="G2455" s="28"/>
      <c r="H2455" s="28"/>
    </row>
    <row r="2456" spans="4:8" s="25" customFormat="1" ht="11.25" customHeight="1">
      <c r="D2456" s="28"/>
      <c r="E2456" s="28"/>
      <c r="F2456" s="28"/>
      <c r="G2456" s="28"/>
      <c r="H2456" s="28"/>
    </row>
    <row r="2457" spans="4:8" s="25" customFormat="1" ht="11.25" customHeight="1">
      <c r="D2457" s="28"/>
      <c r="E2457" s="28"/>
      <c r="F2457" s="28"/>
      <c r="G2457" s="28"/>
      <c r="H2457" s="28"/>
    </row>
    <row r="2458" spans="4:8" s="25" customFormat="1" ht="11.25" customHeight="1">
      <c r="D2458" s="28"/>
      <c r="E2458" s="28"/>
      <c r="F2458" s="28"/>
      <c r="G2458" s="28"/>
      <c r="H2458" s="28"/>
    </row>
    <row r="2459" spans="4:8" s="25" customFormat="1" ht="11.25" customHeight="1">
      <c r="D2459" s="28"/>
      <c r="E2459" s="28"/>
      <c r="F2459" s="28"/>
      <c r="G2459" s="28"/>
      <c r="H2459" s="28"/>
    </row>
    <row r="2460" spans="4:8" s="25" customFormat="1" ht="11.25" customHeight="1">
      <c r="D2460" s="28"/>
      <c r="E2460" s="28"/>
      <c r="F2460" s="28"/>
      <c r="G2460" s="28"/>
      <c r="H2460" s="28"/>
    </row>
    <row r="2461" spans="4:8" s="25" customFormat="1" ht="11.25" customHeight="1">
      <c r="D2461" s="28"/>
      <c r="E2461" s="28"/>
      <c r="F2461" s="28"/>
      <c r="G2461" s="28"/>
      <c r="H2461" s="28"/>
    </row>
    <row r="2462" spans="4:8" s="25" customFormat="1" ht="11.25" customHeight="1">
      <c r="D2462" s="28"/>
      <c r="E2462" s="28"/>
      <c r="F2462" s="28"/>
      <c r="G2462" s="28"/>
      <c r="H2462" s="28"/>
    </row>
    <row r="2463" spans="4:8" s="25" customFormat="1" ht="11.25" customHeight="1">
      <c r="D2463" s="28"/>
      <c r="E2463" s="28"/>
      <c r="F2463" s="28"/>
      <c r="G2463" s="28"/>
      <c r="H2463" s="28"/>
    </row>
    <row r="2464" spans="4:8" s="25" customFormat="1" ht="11.25" customHeight="1">
      <c r="D2464" s="28"/>
      <c r="E2464" s="28"/>
      <c r="F2464" s="28"/>
      <c r="G2464" s="28"/>
      <c r="H2464" s="28"/>
    </row>
    <row r="2465" spans="4:8" s="25" customFormat="1" ht="11.25" customHeight="1">
      <c r="D2465" s="28"/>
      <c r="E2465" s="28"/>
      <c r="F2465" s="28"/>
      <c r="G2465" s="28"/>
      <c r="H2465" s="28"/>
    </row>
    <row r="2466" spans="4:8" s="25" customFormat="1" ht="11.25" customHeight="1">
      <c r="D2466" s="28"/>
      <c r="E2466" s="28"/>
      <c r="F2466" s="28"/>
      <c r="G2466" s="28"/>
      <c r="H2466" s="28"/>
    </row>
    <row r="2467" spans="4:8" s="25" customFormat="1" ht="11.25" customHeight="1">
      <c r="D2467" s="28"/>
      <c r="E2467" s="28"/>
      <c r="F2467" s="28"/>
      <c r="G2467" s="28"/>
      <c r="H2467" s="28"/>
    </row>
    <row r="2468" spans="4:8" s="25" customFormat="1" ht="11.25" customHeight="1">
      <c r="D2468" s="28"/>
      <c r="E2468" s="28"/>
      <c r="F2468" s="28"/>
      <c r="G2468" s="28"/>
      <c r="H2468" s="28"/>
    </row>
    <row r="2469" spans="4:8" s="25" customFormat="1" ht="11.25" customHeight="1">
      <c r="D2469" s="28"/>
      <c r="E2469" s="28"/>
      <c r="F2469" s="28"/>
      <c r="G2469" s="28"/>
      <c r="H2469" s="28"/>
    </row>
    <row r="2470" spans="4:8" s="25" customFormat="1" ht="11.25" customHeight="1">
      <c r="D2470" s="28"/>
      <c r="E2470" s="28"/>
      <c r="F2470" s="28"/>
      <c r="G2470" s="28"/>
      <c r="H2470" s="28"/>
    </row>
    <row r="2471" spans="4:8" s="25" customFormat="1" ht="11.25" customHeight="1">
      <c r="D2471" s="28"/>
      <c r="E2471" s="28"/>
      <c r="F2471" s="28"/>
      <c r="G2471" s="28"/>
      <c r="H2471" s="28"/>
    </row>
    <row r="2472" spans="4:8" s="25" customFormat="1" ht="11.25" customHeight="1">
      <c r="D2472" s="28"/>
      <c r="E2472" s="28"/>
      <c r="F2472" s="28"/>
      <c r="G2472" s="28"/>
      <c r="H2472" s="28"/>
    </row>
    <row r="2473" spans="4:8" s="25" customFormat="1" ht="11.25" customHeight="1">
      <c r="D2473" s="28"/>
      <c r="E2473" s="28"/>
      <c r="F2473" s="28"/>
      <c r="G2473" s="28"/>
      <c r="H2473" s="28"/>
    </row>
    <row r="2474" spans="4:8" s="25" customFormat="1" ht="11.25" customHeight="1">
      <c r="D2474" s="28"/>
      <c r="E2474" s="28"/>
      <c r="F2474" s="28"/>
      <c r="G2474" s="28"/>
      <c r="H2474" s="28"/>
    </row>
    <row r="2475" spans="4:8" s="25" customFormat="1" ht="11.25" customHeight="1">
      <c r="D2475" s="28"/>
      <c r="E2475" s="28"/>
      <c r="F2475" s="28"/>
      <c r="G2475" s="28"/>
      <c r="H2475" s="28"/>
    </row>
    <row r="2476" spans="4:8" s="25" customFormat="1" ht="11.25" customHeight="1">
      <c r="D2476" s="28"/>
      <c r="E2476" s="28"/>
      <c r="F2476" s="28"/>
      <c r="G2476" s="28"/>
      <c r="H2476" s="28"/>
    </row>
    <row r="2477" spans="4:8" s="25" customFormat="1" ht="11.25" customHeight="1">
      <c r="D2477" s="28"/>
      <c r="E2477" s="28"/>
      <c r="F2477" s="28"/>
      <c r="G2477" s="28"/>
      <c r="H2477" s="28"/>
    </row>
    <row r="2478" spans="4:8" s="25" customFormat="1" ht="11.25" customHeight="1">
      <c r="D2478" s="28"/>
      <c r="E2478" s="28"/>
      <c r="F2478" s="28"/>
      <c r="G2478" s="28"/>
      <c r="H2478" s="28"/>
    </row>
    <row r="2479" spans="4:8" s="25" customFormat="1" ht="11.25" customHeight="1">
      <c r="D2479" s="28"/>
      <c r="E2479" s="28"/>
      <c r="F2479" s="28"/>
      <c r="G2479" s="28"/>
      <c r="H2479" s="28"/>
    </row>
    <row r="2480" spans="4:8" s="25" customFormat="1" ht="11.25" customHeight="1">
      <c r="D2480" s="28"/>
      <c r="E2480" s="28"/>
      <c r="F2480" s="28"/>
      <c r="G2480" s="28"/>
      <c r="H2480" s="28"/>
    </row>
    <row r="2481" spans="4:8" s="25" customFormat="1" ht="11.25" customHeight="1">
      <c r="D2481" s="28"/>
      <c r="E2481" s="28"/>
      <c r="F2481" s="28"/>
      <c r="G2481" s="28"/>
      <c r="H2481" s="28"/>
    </row>
    <row r="2482" spans="4:8" s="25" customFormat="1" ht="11.25" customHeight="1">
      <c r="D2482" s="28"/>
      <c r="E2482" s="28"/>
      <c r="F2482" s="28"/>
      <c r="G2482" s="28"/>
      <c r="H2482" s="28"/>
    </row>
    <row r="2483" spans="4:8" s="25" customFormat="1" ht="11.25" customHeight="1">
      <c r="D2483" s="28"/>
      <c r="E2483" s="28"/>
      <c r="F2483" s="28"/>
      <c r="G2483" s="28"/>
      <c r="H2483" s="28"/>
    </row>
    <row r="2484" spans="4:8" s="25" customFormat="1" ht="11.25" customHeight="1">
      <c r="D2484" s="28"/>
      <c r="E2484" s="28"/>
      <c r="F2484" s="28"/>
      <c r="G2484" s="28"/>
      <c r="H2484" s="28"/>
    </row>
    <row r="2485" spans="4:8" s="25" customFormat="1" ht="11.25" customHeight="1">
      <c r="D2485" s="28"/>
      <c r="E2485" s="28"/>
      <c r="F2485" s="28"/>
      <c r="G2485" s="28"/>
      <c r="H2485" s="28"/>
    </row>
    <row r="2486" spans="4:8" s="25" customFormat="1" ht="11.25" customHeight="1">
      <c r="D2486" s="28"/>
      <c r="E2486" s="28"/>
      <c r="F2486" s="28"/>
      <c r="G2486" s="28"/>
      <c r="H2486" s="28"/>
    </row>
    <row r="2487" spans="4:8" s="25" customFormat="1" ht="11.25" customHeight="1">
      <c r="D2487" s="28"/>
      <c r="E2487" s="28"/>
      <c r="F2487" s="28"/>
      <c r="G2487" s="28"/>
      <c r="H2487" s="28"/>
    </row>
    <row r="2488" spans="4:8" s="25" customFormat="1" ht="11.25" customHeight="1">
      <c r="D2488" s="28"/>
      <c r="E2488" s="28"/>
      <c r="F2488" s="28"/>
      <c r="G2488" s="28"/>
      <c r="H2488" s="28"/>
    </row>
    <row r="2489" spans="4:8" s="25" customFormat="1" ht="11.25" customHeight="1">
      <c r="D2489" s="28"/>
      <c r="E2489" s="28"/>
      <c r="F2489" s="28"/>
      <c r="G2489" s="28"/>
      <c r="H2489" s="28"/>
    </row>
    <row r="2490" spans="4:8" s="25" customFormat="1" ht="11.25" customHeight="1">
      <c r="D2490" s="28"/>
      <c r="E2490" s="28"/>
      <c r="F2490" s="28"/>
      <c r="G2490" s="28"/>
      <c r="H2490" s="28"/>
    </row>
    <row r="2491" spans="4:8" s="25" customFormat="1" ht="11.25" customHeight="1">
      <c r="D2491" s="28"/>
      <c r="E2491" s="28"/>
      <c r="F2491" s="28"/>
      <c r="G2491" s="28"/>
      <c r="H2491" s="28"/>
    </row>
    <row r="2492" spans="4:8" s="25" customFormat="1" ht="11.25" customHeight="1">
      <c r="D2492" s="28"/>
      <c r="E2492" s="28"/>
      <c r="F2492" s="28"/>
      <c r="G2492" s="28"/>
      <c r="H2492" s="28"/>
    </row>
    <row r="2493" spans="4:8" s="25" customFormat="1" ht="11.25" customHeight="1">
      <c r="D2493" s="28"/>
      <c r="E2493" s="28"/>
      <c r="F2493" s="28"/>
      <c r="G2493" s="28"/>
      <c r="H2493" s="28"/>
    </row>
    <row r="2494" spans="4:8" s="25" customFormat="1" ht="11.25" customHeight="1">
      <c r="D2494" s="28"/>
      <c r="E2494" s="28"/>
      <c r="F2494" s="28"/>
      <c r="G2494" s="28"/>
      <c r="H2494" s="28"/>
    </row>
    <row r="2495" spans="4:8" s="25" customFormat="1" ht="11.25" customHeight="1">
      <c r="D2495" s="28"/>
      <c r="E2495" s="28"/>
      <c r="F2495" s="28"/>
      <c r="G2495" s="28"/>
      <c r="H2495" s="28"/>
    </row>
    <row r="2496" spans="4:8" s="25" customFormat="1" ht="11.25" customHeight="1">
      <c r="D2496" s="28"/>
      <c r="E2496" s="28"/>
      <c r="F2496" s="28"/>
      <c r="G2496" s="28"/>
      <c r="H2496" s="28"/>
    </row>
    <row r="2497" spans="4:8" s="25" customFormat="1" ht="11.25" customHeight="1">
      <c r="D2497" s="28"/>
      <c r="E2497" s="28"/>
      <c r="F2497" s="28"/>
      <c r="G2497" s="28"/>
      <c r="H2497" s="28"/>
    </row>
    <row r="2498" spans="4:8" s="25" customFormat="1" ht="11.25" customHeight="1">
      <c r="D2498" s="28"/>
      <c r="E2498" s="28"/>
      <c r="F2498" s="28"/>
      <c r="G2498" s="28"/>
      <c r="H2498" s="28"/>
    </row>
    <row r="2499" spans="4:8" s="25" customFormat="1" ht="11.25" customHeight="1">
      <c r="D2499" s="28"/>
      <c r="E2499" s="28"/>
      <c r="F2499" s="28"/>
      <c r="G2499" s="28"/>
      <c r="H2499" s="28"/>
    </row>
    <row r="2500" spans="4:8" s="25" customFormat="1" ht="11.25" customHeight="1">
      <c r="D2500" s="28"/>
      <c r="E2500" s="28"/>
      <c r="F2500" s="28"/>
      <c r="G2500" s="28"/>
      <c r="H2500" s="28"/>
    </row>
    <row r="2501" spans="4:8" s="25" customFormat="1" ht="11.25" customHeight="1">
      <c r="D2501" s="28"/>
      <c r="E2501" s="28"/>
      <c r="F2501" s="28"/>
      <c r="G2501" s="28"/>
      <c r="H2501" s="28"/>
    </row>
    <row r="2502" spans="4:8" s="25" customFormat="1" ht="11.25" customHeight="1">
      <c r="D2502" s="28"/>
      <c r="E2502" s="28"/>
      <c r="F2502" s="28"/>
      <c r="G2502" s="28"/>
      <c r="H2502" s="28"/>
    </row>
    <row r="2503" spans="4:8" s="25" customFormat="1" ht="11.25" customHeight="1">
      <c r="D2503" s="28"/>
      <c r="E2503" s="28"/>
      <c r="F2503" s="28"/>
      <c r="G2503" s="28"/>
      <c r="H2503" s="28"/>
    </row>
    <row r="2504" spans="4:8" s="25" customFormat="1" ht="11.25" customHeight="1">
      <c r="D2504" s="28"/>
      <c r="E2504" s="28"/>
      <c r="F2504" s="28"/>
      <c r="G2504" s="28"/>
      <c r="H2504" s="28"/>
    </row>
    <row r="2505" spans="4:8" s="25" customFormat="1" ht="11.25" customHeight="1">
      <c r="D2505" s="28"/>
      <c r="E2505" s="28"/>
      <c r="F2505" s="28"/>
      <c r="G2505" s="28"/>
      <c r="H2505" s="28"/>
    </row>
    <row r="2506" spans="4:8" s="25" customFormat="1" ht="11.25" customHeight="1">
      <c r="D2506" s="28"/>
      <c r="E2506" s="28"/>
      <c r="F2506" s="28"/>
      <c r="G2506" s="28"/>
      <c r="H2506" s="28"/>
    </row>
    <row r="2507" spans="4:8" s="25" customFormat="1" ht="11.25" customHeight="1">
      <c r="D2507" s="28"/>
      <c r="E2507" s="28"/>
      <c r="F2507" s="28"/>
      <c r="G2507" s="28"/>
      <c r="H2507" s="28"/>
    </row>
    <row r="2508" spans="4:8" s="25" customFormat="1" ht="11.25" customHeight="1">
      <c r="D2508" s="28"/>
      <c r="E2508" s="28"/>
      <c r="F2508" s="28"/>
      <c r="G2508" s="28"/>
      <c r="H2508" s="28"/>
    </row>
    <row r="2509" spans="4:8" s="25" customFormat="1" ht="11.25" customHeight="1">
      <c r="D2509" s="28"/>
      <c r="E2509" s="28"/>
      <c r="F2509" s="28"/>
      <c r="G2509" s="28"/>
      <c r="H2509" s="28"/>
    </row>
    <row r="2510" spans="4:8" s="25" customFormat="1" ht="11.25" customHeight="1">
      <c r="D2510" s="28"/>
      <c r="E2510" s="28"/>
      <c r="F2510" s="28"/>
      <c r="G2510" s="28"/>
      <c r="H2510" s="28"/>
    </row>
    <row r="2511" spans="4:8" s="25" customFormat="1" ht="11.25" customHeight="1">
      <c r="D2511" s="28"/>
      <c r="E2511" s="28"/>
      <c r="F2511" s="28"/>
      <c r="G2511" s="28"/>
      <c r="H2511" s="28"/>
    </row>
    <row r="2512" spans="4:8" s="25" customFormat="1" ht="11.25" customHeight="1">
      <c r="D2512" s="28"/>
      <c r="E2512" s="28"/>
      <c r="F2512" s="28"/>
      <c r="G2512" s="28"/>
      <c r="H2512" s="28"/>
    </row>
    <row r="2513" spans="4:8" s="25" customFormat="1" ht="11.25" customHeight="1">
      <c r="D2513" s="28"/>
      <c r="E2513" s="28"/>
      <c r="F2513" s="28"/>
      <c r="G2513" s="28"/>
      <c r="H2513" s="28"/>
    </row>
    <row r="2514" spans="4:8" s="25" customFormat="1" ht="11.25" customHeight="1">
      <c r="D2514" s="28"/>
      <c r="E2514" s="28"/>
      <c r="F2514" s="28"/>
      <c r="G2514" s="28"/>
      <c r="H2514" s="28"/>
    </row>
    <row r="2515" spans="4:8" s="25" customFormat="1" ht="11.25" customHeight="1">
      <c r="D2515" s="28"/>
      <c r="E2515" s="28"/>
      <c r="F2515" s="28"/>
      <c r="G2515" s="28"/>
      <c r="H2515" s="28"/>
    </row>
    <row r="2516" spans="4:8" s="25" customFormat="1" ht="11.25" customHeight="1">
      <c r="D2516" s="28"/>
      <c r="E2516" s="28"/>
      <c r="F2516" s="28"/>
      <c r="G2516" s="28"/>
      <c r="H2516" s="28"/>
    </row>
    <row r="2517" spans="4:8" s="25" customFormat="1" ht="11.25" customHeight="1">
      <c r="D2517" s="28"/>
      <c r="E2517" s="28"/>
      <c r="F2517" s="28"/>
      <c r="G2517" s="28"/>
      <c r="H2517" s="28"/>
    </row>
    <row r="2518" spans="4:8" s="25" customFormat="1" ht="11.25" customHeight="1">
      <c r="D2518" s="28"/>
      <c r="E2518" s="28"/>
      <c r="F2518" s="28"/>
      <c r="G2518" s="28"/>
      <c r="H2518" s="28"/>
    </row>
    <row r="2519" spans="4:8" s="25" customFormat="1" ht="11.25" customHeight="1">
      <c r="D2519" s="28"/>
      <c r="E2519" s="28"/>
      <c r="F2519" s="28"/>
      <c r="G2519" s="28"/>
      <c r="H2519" s="28"/>
    </row>
    <row r="2520" spans="4:8" s="25" customFormat="1" ht="11.25" customHeight="1">
      <c r="D2520" s="28"/>
      <c r="E2520" s="28"/>
      <c r="F2520" s="28"/>
      <c r="G2520" s="28"/>
      <c r="H2520" s="28"/>
    </row>
    <row r="2521" spans="4:8" s="25" customFormat="1" ht="11.25" customHeight="1">
      <c r="D2521" s="28"/>
      <c r="E2521" s="28"/>
      <c r="F2521" s="28"/>
      <c r="G2521" s="28"/>
      <c r="H2521" s="28"/>
    </row>
    <row r="2522" spans="4:8" s="25" customFormat="1" ht="11.25" customHeight="1">
      <c r="D2522" s="28"/>
      <c r="E2522" s="28"/>
      <c r="F2522" s="28"/>
      <c r="G2522" s="28"/>
      <c r="H2522" s="28"/>
    </row>
    <row r="2523" spans="4:8" s="25" customFormat="1" ht="11.25" customHeight="1">
      <c r="D2523" s="28"/>
      <c r="E2523" s="28"/>
      <c r="F2523" s="28"/>
      <c r="G2523" s="28"/>
      <c r="H2523" s="28"/>
    </row>
    <row r="2524" spans="4:8" s="25" customFormat="1" ht="11.25" customHeight="1">
      <c r="D2524" s="28"/>
      <c r="E2524" s="28"/>
      <c r="F2524" s="28"/>
      <c r="G2524" s="28"/>
      <c r="H2524" s="28"/>
    </row>
    <row r="2525" spans="4:8" s="25" customFormat="1" ht="11.25" customHeight="1">
      <c r="D2525" s="28"/>
      <c r="E2525" s="28"/>
      <c r="F2525" s="28"/>
      <c r="G2525" s="28"/>
      <c r="H2525" s="28"/>
    </row>
    <row r="2526" spans="4:8" s="25" customFormat="1" ht="11.25" customHeight="1">
      <c r="D2526" s="28"/>
      <c r="E2526" s="28"/>
      <c r="F2526" s="28"/>
      <c r="G2526" s="28"/>
      <c r="H2526" s="28"/>
    </row>
    <row r="2527" spans="4:8" s="25" customFormat="1" ht="11.25" customHeight="1">
      <c r="D2527" s="28"/>
      <c r="E2527" s="28"/>
      <c r="F2527" s="28"/>
      <c r="G2527" s="28"/>
      <c r="H2527" s="28"/>
    </row>
    <row r="2528" spans="4:8" s="25" customFormat="1" ht="11.25" customHeight="1">
      <c r="D2528" s="28"/>
      <c r="E2528" s="28"/>
      <c r="F2528" s="28"/>
      <c r="G2528" s="28"/>
      <c r="H2528" s="28"/>
    </row>
    <row r="2529" spans="4:8" s="25" customFormat="1" ht="11.25" customHeight="1">
      <c r="D2529" s="28"/>
      <c r="E2529" s="28"/>
      <c r="F2529" s="28"/>
      <c r="G2529" s="28"/>
      <c r="H2529" s="28"/>
    </row>
    <row r="2530" spans="4:8" s="25" customFormat="1" ht="11.25" customHeight="1">
      <c r="D2530" s="28"/>
      <c r="E2530" s="28"/>
      <c r="F2530" s="28"/>
      <c r="G2530" s="28"/>
      <c r="H2530" s="28"/>
    </row>
    <row r="2531" spans="4:8" s="25" customFormat="1" ht="11.25" customHeight="1">
      <c r="D2531" s="28"/>
      <c r="E2531" s="28"/>
      <c r="F2531" s="28"/>
      <c r="G2531" s="28"/>
      <c r="H2531" s="28"/>
    </row>
    <row r="2532" spans="4:8" s="25" customFormat="1" ht="11.25" customHeight="1">
      <c r="D2532" s="28"/>
      <c r="E2532" s="28"/>
      <c r="F2532" s="28"/>
      <c r="G2532" s="28"/>
      <c r="H2532" s="28"/>
    </row>
    <row r="2533" spans="4:8" s="25" customFormat="1" ht="11.25" customHeight="1">
      <c r="D2533" s="28"/>
      <c r="E2533" s="28"/>
      <c r="F2533" s="28"/>
      <c r="G2533" s="28"/>
      <c r="H2533" s="28"/>
    </row>
    <row r="2534" spans="4:8" s="25" customFormat="1" ht="11.25" customHeight="1">
      <c r="D2534" s="28"/>
      <c r="E2534" s="28"/>
      <c r="F2534" s="28"/>
      <c r="G2534" s="28"/>
      <c r="H2534" s="28"/>
    </row>
    <row r="2535" spans="4:8" s="25" customFormat="1" ht="11.25" customHeight="1">
      <c r="D2535" s="28"/>
      <c r="E2535" s="28"/>
      <c r="F2535" s="28"/>
      <c r="G2535" s="28"/>
      <c r="H2535" s="28"/>
    </row>
    <row r="2536" spans="4:8" s="25" customFormat="1" ht="11.25" customHeight="1">
      <c r="D2536" s="28"/>
      <c r="E2536" s="28"/>
      <c r="F2536" s="28"/>
      <c r="G2536" s="28"/>
      <c r="H2536" s="28"/>
    </row>
    <row r="2537" spans="4:8" s="25" customFormat="1" ht="11.25" customHeight="1">
      <c r="D2537" s="28"/>
      <c r="E2537" s="28"/>
      <c r="F2537" s="28"/>
      <c r="G2537" s="28"/>
      <c r="H2537" s="28"/>
    </row>
    <row r="2538" spans="4:8" s="25" customFormat="1" ht="11.25" customHeight="1">
      <c r="D2538" s="28"/>
      <c r="E2538" s="28"/>
      <c r="F2538" s="28"/>
      <c r="G2538" s="28"/>
      <c r="H2538" s="28"/>
    </row>
    <row r="2539" spans="4:8" s="25" customFormat="1" ht="11.25" customHeight="1">
      <c r="D2539" s="28"/>
      <c r="E2539" s="28"/>
      <c r="F2539" s="28"/>
      <c r="G2539" s="28"/>
      <c r="H2539" s="28"/>
    </row>
    <row r="2540" spans="4:8" s="25" customFormat="1" ht="11.25" customHeight="1">
      <c r="D2540" s="28"/>
      <c r="E2540" s="28"/>
      <c r="F2540" s="28"/>
      <c r="G2540" s="28"/>
      <c r="H2540" s="28"/>
    </row>
    <row r="2541" spans="4:8" s="25" customFormat="1" ht="11.25" customHeight="1">
      <c r="D2541" s="28"/>
      <c r="E2541" s="28"/>
      <c r="F2541" s="28"/>
      <c r="G2541" s="28"/>
      <c r="H2541" s="28"/>
    </row>
    <row r="2542" spans="4:8" s="25" customFormat="1" ht="11.25" customHeight="1">
      <c r="D2542" s="28"/>
      <c r="E2542" s="28"/>
      <c r="F2542" s="28"/>
      <c r="G2542" s="28"/>
      <c r="H2542" s="28"/>
    </row>
    <row r="2543" spans="4:8" s="25" customFormat="1" ht="11.25" customHeight="1">
      <c r="D2543" s="28"/>
      <c r="E2543" s="28"/>
      <c r="F2543" s="28"/>
      <c r="G2543" s="28"/>
      <c r="H2543" s="28"/>
    </row>
    <row r="2544" spans="4:8" s="25" customFormat="1" ht="11.25" customHeight="1">
      <c r="D2544" s="28"/>
      <c r="E2544" s="28"/>
      <c r="F2544" s="28"/>
      <c r="G2544" s="28"/>
      <c r="H2544" s="28"/>
    </row>
    <row r="2545" spans="4:8" s="25" customFormat="1" ht="11.25" customHeight="1">
      <c r="D2545" s="28"/>
      <c r="E2545" s="28"/>
      <c r="F2545" s="28"/>
      <c r="G2545" s="28"/>
      <c r="H2545" s="28"/>
    </row>
    <row r="2546" spans="4:8" s="25" customFormat="1" ht="11.25" customHeight="1">
      <c r="D2546" s="28"/>
      <c r="E2546" s="28"/>
      <c r="F2546" s="28"/>
      <c r="G2546" s="28"/>
      <c r="H2546" s="28"/>
    </row>
    <row r="2547" spans="4:8" s="25" customFormat="1" ht="11.25" customHeight="1">
      <c r="D2547" s="28"/>
      <c r="E2547" s="28"/>
      <c r="F2547" s="28"/>
      <c r="G2547" s="28"/>
      <c r="H2547" s="28"/>
    </row>
    <row r="2548" spans="4:8" s="25" customFormat="1" ht="11.25" customHeight="1">
      <c r="D2548" s="28"/>
      <c r="E2548" s="28"/>
      <c r="F2548" s="28"/>
      <c r="G2548" s="28"/>
      <c r="H2548" s="28"/>
    </row>
    <row r="2549" spans="4:8" s="25" customFormat="1" ht="11.25" customHeight="1">
      <c r="D2549" s="28"/>
      <c r="E2549" s="28"/>
      <c r="F2549" s="28"/>
      <c r="G2549" s="28"/>
      <c r="H2549" s="28"/>
    </row>
    <row r="2550" spans="4:8" s="25" customFormat="1" ht="11.25" customHeight="1">
      <c r="D2550" s="28"/>
      <c r="E2550" s="28"/>
      <c r="F2550" s="28"/>
      <c r="G2550" s="28"/>
      <c r="H2550" s="28"/>
    </row>
    <row r="2551" spans="4:8" s="25" customFormat="1" ht="11.25" customHeight="1">
      <c r="D2551" s="28"/>
      <c r="E2551" s="28"/>
      <c r="F2551" s="28"/>
      <c r="G2551" s="28"/>
      <c r="H2551" s="28"/>
    </row>
    <row r="2552" spans="4:8" s="25" customFormat="1" ht="11.25" customHeight="1">
      <c r="D2552" s="28"/>
      <c r="E2552" s="28"/>
      <c r="F2552" s="28"/>
      <c r="G2552" s="28"/>
      <c r="H2552" s="28"/>
    </row>
    <row r="2553" spans="4:8" s="25" customFormat="1" ht="11.25" customHeight="1">
      <c r="D2553" s="28"/>
      <c r="E2553" s="28"/>
      <c r="F2553" s="28"/>
      <c r="G2553" s="28"/>
      <c r="H2553" s="28"/>
    </row>
    <row r="2554" spans="4:8" s="25" customFormat="1" ht="11.25" customHeight="1">
      <c r="D2554" s="28"/>
      <c r="E2554" s="28"/>
      <c r="F2554" s="28"/>
      <c r="G2554" s="28"/>
      <c r="H2554" s="28"/>
    </row>
    <row r="2555" spans="4:8" s="25" customFormat="1" ht="11.25" customHeight="1">
      <c r="D2555" s="28"/>
      <c r="E2555" s="28"/>
      <c r="F2555" s="28"/>
      <c r="G2555" s="28"/>
      <c r="H2555" s="28"/>
    </row>
    <row r="2556" spans="4:8" s="25" customFormat="1" ht="11.25" customHeight="1">
      <c r="D2556" s="28"/>
      <c r="E2556" s="28"/>
      <c r="F2556" s="28"/>
      <c r="G2556" s="28"/>
      <c r="H2556" s="28"/>
    </row>
    <row r="2557" spans="4:8" s="25" customFormat="1" ht="11.25" customHeight="1">
      <c r="D2557" s="28"/>
      <c r="E2557" s="28"/>
      <c r="F2557" s="28"/>
      <c r="G2557" s="28"/>
      <c r="H2557" s="28"/>
    </row>
    <row r="2558" spans="4:8" s="25" customFormat="1" ht="11.25" customHeight="1">
      <c r="D2558" s="28"/>
      <c r="E2558" s="28"/>
      <c r="F2558" s="28"/>
      <c r="G2558" s="28"/>
      <c r="H2558" s="28"/>
    </row>
    <row r="2559" spans="4:8" s="25" customFormat="1" ht="11.25" customHeight="1">
      <c r="D2559" s="28"/>
      <c r="E2559" s="28"/>
      <c r="F2559" s="28"/>
      <c r="G2559" s="28"/>
      <c r="H2559" s="28"/>
    </row>
    <row r="2560" spans="4:8" s="25" customFormat="1" ht="11.25" customHeight="1">
      <c r="D2560" s="28"/>
      <c r="E2560" s="28"/>
      <c r="F2560" s="28"/>
      <c r="G2560" s="28"/>
      <c r="H2560" s="28"/>
    </row>
    <row r="2561" spans="4:8" s="25" customFormat="1" ht="11.25" customHeight="1">
      <c r="D2561" s="28"/>
      <c r="E2561" s="28"/>
      <c r="F2561" s="28"/>
      <c r="G2561" s="28"/>
      <c r="H2561" s="28"/>
    </row>
    <row r="2562" spans="4:8" s="25" customFormat="1" ht="11.25" customHeight="1">
      <c r="D2562" s="28"/>
      <c r="E2562" s="28"/>
      <c r="F2562" s="28"/>
      <c r="G2562" s="28"/>
      <c r="H2562" s="28"/>
    </row>
    <row r="2563" spans="4:8" s="25" customFormat="1" ht="11.25" customHeight="1">
      <c r="D2563" s="28"/>
      <c r="E2563" s="28"/>
      <c r="F2563" s="28"/>
      <c r="G2563" s="28"/>
      <c r="H2563" s="28"/>
    </row>
    <row r="2564" spans="4:8" s="25" customFormat="1" ht="11.25" customHeight="1">
      <c r="D2564" s="28"/>
      <c r="E2564" s="28"/>
      <c r="F2564" s="28"/>
      <c r="G2564" s="28"/>
      <c r="H2564" s="28"/>
    </row>
    <row r="2565" spans="4:8" s="25" customFormat="1" ht="11.25" customHeight="1">
      <c r="D2565" s="28"/>
      <c r="E2565" s="28"/>
      <c r="F2565" s="28"/>
      <c r="G2565" s="28"/>
      <c r="H2565" s="28"/>
    </row>
    <row r="2566" spans="4:8" s="25" customFormat="1" ht="11.25" customHeight="1">
      <c r="D2566" s="28"/>
      <c r="E2566" s="28"/>
      <c r="F2566" s="28"/>
      <c r="G2566" s="28"/>
      <c r="H2566" s="28"/>
    </row>
    <row r="2567" spans="4:8" s="25" customFormat="1" ht="11.25" customHeight="1">
      <c r="D2567" s="28"/>
      <c r="E2567" s="28"/>
      <c r="F2567" s="28"/>
      <c r="G2567" s="28"/>
      <c r="H2567" s="28"/>
    </row>
    <row r="2568" spans="4:8" s="25" customFormat="1" ht="11.25" customHeight="1">
      <c r="D2568" s="28"/>
      <c r="E2568" s="28"/>
      <c r="F2568" s="28"/>
      <c r="G2568" s="28"/>
      <c r="H2568" s="28"/>
    </row>
    <row r="2569" spans="4:8" s="25" customFormat="1" ht="11.25" customHeight="1">
      <c r="D2569" s="28"/>
      <c r="E2569" s="28"/>
      <c r="F2569" s="28"/>
      <c r="G2569" s="28"/>
      <c r="H2569" s="28"/>
    </row>
    <row r="2570" spans="4:8" s="25" customFormat="1" ht="11.25" customHeight="1">
      <c r="D2570" s="28"/>
      <c r="E2570" s="28"/>
      <c r="F2570" s="28"/>
      <c r="G2570" s="28"/>
      <c r="H2570" s="28"/>
    </row>
    <row r="2571" spans="4:8" s="25" customFormat="1" ht="11.25" customHeight="1">
      <c r="D2571" s="28"/>
      <c r="E2571" s="28"/>
      <c r="F2571" s="28"/>
      <c r="G2571" s="28"/>
      <c r="H2571" s="28"/>
    </row>
    <row r="2572" spans="4:8" s="25" customFormat="1" ht="11.25" customHeight="1">
      <c r="D2572" s="28"/>
      <c r="E2572" s="28"/>
      <c r="F2572" s="28"/>
      <c r="G2572" s="28"/>
      <c r="H2572" s="28"/>
    </row>
    <row r="2573" spans="4:8" s="25" customFormat="1" ht="11.25" customHeight="1">
      <c r="D2573" s="28"/>
      <c r="E2573" s="28"/>
      <c r="F2573" s="28"/>
      <c r="G2573" s="28"/>
      <c r="H2573" s="28"/>
    </row>
    <row r="2574" spans="4:8" s="25" customFormat="1" ht="11.25" customHeight="1">
      <c r="D2574" s="28"/>
      <c r="E2574" s="28"/>
      <c r="F2574" s="28"/>
      <c r="G2574" s="28"/>
      <c r="H2574" s="28"/>
    </row>
    <row r="2575" spans="4:8" s="25" customFormat="1" ht="11.25" customHeight="1">
      <c r="D2575" s="28"/>
      <c r="E2575" s="28"/>
      <c r="F2575" s="28"/>
      <c r="G2575" s="28"/>
      <c r="H2575" s="28"/>
    </row>
    <row r="2576" spans="4:8" s="25" customFormat="1" ht="11.25" customHeight="1">
      <c r="D2576" s="28"/>
      <c r="E2576" s="28"/>
      <c r="F2576" s="28"/>
      <c r="G2576" s="28"/>
      <c r="H2576" s="28"/>
    </row>
    <row r="2577" spans="4:8" s="25" customFormat="1" ht="11.25" customHeight="1">
      <c r="D2577" s="28"/>
      <c r="E2577" s="28"/>
      <c r="F2577" s="28"/>
      <c r="G2577" s="28"/>
      <c r="H2577" s="28"/>
    </row>
    <row r="2578" spans="4:8" s="25" customFormat="1" ht="11.25" customHeight="1">
      <c r="D2578" s="28"/>
      <c r="E2578" s="28"/>
      <c r="F2578" s="28"/>
      <c r="G2578" s="28"/>
      <c r="H2578" s="28"/>
    </row>
    <row r="2579" spans="4:8" s="25" customFormat="1" ht="11.25" customHeight="1">
      <c r="D2579" s="28"/>
      <c r="E2579" s="28"/>
      <c r="F2579" s="28"/>
      <c r="G2579" s="28"/>
      <c r="H2579" s="28"/>
    </row>
    <row r="2580" spans="4:8" s="25" customFormat="1" ht="11.25" customHeight="1">
      <c r="D2580" s="28"/>
      <c r="E2580" s="28"/>
      <c r="F2580" s="28"/>
      <c r="G2580" s="28"/>
      <c r="H2580" s="28"/>
    </row>
    <row r="2581" spans="4:8" s="25" customFormat="1" ht="11.25" customHeight="1">
      <c r="D2581" s="28"/>
      <c r="E2581" s="28"/>
      <c r="F2581" s="28"/>
      <c r="G2581" s="28"/>
      <c r="H2581" s="28"/>
    </row>
    <row r="2582" spans="4:8" s="25" customFormat="1" ht="11.25" customHeight="1">
      <c r="D2582" s="28"/>
      <c r="E2582" s="28"/>
      <c r="F2582" s="28"/>
      <c r="G2582" s="28"/>
      <c r="H2582" s="28"/>
    </row>
    <row r="2583" spans="4:8" s="25" customFormat="1" ht="11.25" customHeight="1">
      <c r="D2583" s="28"/>
      <c r="E2583" s="28"/>
      <c r="F2583" s="28"/>
      <c r="G2583" s="28"/>
      <c r="H2583" s="28"/>
    </row>
    <row r="2584" spans="4:8" s="25" customFormat="1" ht="11.25" customHeight="1">
      <c r="D2584" s="28"/>
      <c r="E2584" s="28"/>
      <c r="F2584" s="28"/>
      <c r="G2584" s="28"/>
      <c r="H2584" s="28"/>
    </row>
    <row r="2585" spans="4:8" s="25" customFormat="1" ht="11.25" customHeight="1">
      <c r="D2585" s="28"/>
      <c r="E2585" s="28"/>
      <c r="F2585" s="28"/>
      <c r="G2585" s="28"/>
      <c r="H2585" s="28"/>
    </row>
    <row r="2586" spans="4:8" s="25" customFormat="1" ht="11.25" customHeight="1">
      <c r="D2586" s="28"/>
      <c r="E2586" s="28"/>
      <c r="F2586" s="28"/>
      <c r="G2586" s="28"/>
      <c r="H2586" s="28"/>
    </row>
    <row r="2587" spans="4:8" s="25" customFormat="1" ht="11.25" customHeight="1">
      <c r="D2587" s="28"/>
      <c r="E2587" s="28"/>
      <c r="F2587" s="28"/>
      <c r="G2587" s="28"/>
      <c r="H2587" s="28"/>
    </row>
    <row r="2588" spans="4:8" s="25" customFormat="1" ht="11.25" customHeight="1">
      <c r="D2588" s="28"/>
      <c r="E2588" s="28"/>
      <c r="F2588" s="28"/>
      <c r="G2588" s="28"/>
      <c r="H2588" s="28"/>
    </row>
    <row r="2589" spans="4:8" s="25" customFormat="1" ht="11.25" customHeight="1">
      <c r="D2589" s="28"/>
      <c r="E2589" s="28"/>
      <c r="F2589" s="28"/>
      <c r="G2589" s="28"/>
      <c r="H2589" s="28"/>
    </row>
    <row r="2590" spans="4:8" s="25" customFormat="1" ht="11.25" customHeight="1">
      <c r="D2590" s="28"/>
      <c r="E2590" s="28"/>
      <c r="F2590" s="28"/>
      <c r="G2590" s="28"/>
      <c r="H2590" s="28"/>
    </row>
    <row r="2591" spans="4:8" s="25" customFormat="1" ht="11.25" customHeight="1">
      <c r="D2591" s="28"/>
      <c r="E2591" s="28"/>
      <c r="F2591" s="28"/>
      <c r="G2591" s="28"/>
      <c r="H2591" s="28"/>
    </row>
    <row r="2592" spans="4:8" s="25" customFormat="1" ht="11.25" customHeight="1">
      <c r="D2592" s="28"/>
      <c r="E2592" s="28"/>
      <c r="F2592" s="28"/>
      <c r="G2592" s="28"/>
      <c r="H2592" s="28"/>
    </row>
    <row r="2593" spans="4:8" s="25" customFormat="1" ht="11.25" customHeight="1">
      <c r="D2593" s="28"/>
      <c r="E2593" s="28"/>
      <c r="F2593" s="28"/>
      <c r="G2593" s="28"/>
      <c r="H2593" s="28"/>
    </row>
    <row r="2594" spans="4:8" s="25" customFormat="1" ht="11.25" customHeight="1">
      <c r="D2594" s="28"/>
      <c r="E2594" s="28"/>
      <c r="F2594" s="28"/>
      <c r="G2594" s="28"/>
      <c r="H2594" s="28"/>
    </row>
    <row r="2595" spans="4:8" s="25" customFormat="1" ht="11.25" customHeight="1">
      <c r="D2595" s="28"/>
      <c r="E2595" s="28"/>
      <c r="F2595" s="28"/>
      <c r="G2595" s="28"/>
      <c r="H2595" s="28"/>
    </row>
    <row r="2596" spans="4:8" s="25" customFormat="1" ht="11.25" customHeight="1">
      <c r="D2596" s="28"/>
      <c r="E2596" s="28"/>
      <c r="F2596" s="28"/>
      <c r="G2596" s="28"/>
      <c r="H2596" s="28"/>
    </row>
    <row r="2597" spans="4:8" s="25" customFormat="1" ht="11.25" customHeight="1">
      <c r="D2597" s="28"/>
      <c r="E2597" s="28"/>
      <c r="F2597" s="28"/>
      <c r="G2597" s="28"/>
      <c r="H2597" s="28"/>
    </row>
    <row r="2598" spans="4:8" s="25" customFormat="1" ht="11.25" customHeight="1">
      <c r="D2598" s="28"/>
      <c r="E2598" s="28"/>
      <c r="F2598" s="28"/>
      <c r="G2598" s="28"/>
      <c r="H2598" s="28"/>
    </row>
    <row r="2599" spans="4:8" s="25" customFormat="1" ht="11.25" customHeight="1">
      <c r="D2599" s="28"/>
      <c r="E2599" s="28"/>
      <c r="F2599" s="28"/>
      <c r="G2599" s="28"/>
      <c r="H2599" s="28"/>
    </row>
    <row r="2600" spans="4:8" s="25" customFormat="1" ht="11.25" customHeight="1">
      <c r="D2600" s="28"/>
      <c r="E2600" s="28"/>
      <c r="F2600" s="28"/>
      <c r="G2600" s="28"/>
      <c r="H2600" s="28"/>
    </row>
    <row r="2601" spans="4:8" s="25" customFormat="1" ht="11.25" customHeight="1">
      <c r="D2601" s="28"/>
      <c r="E2601" s="28"/>
      <c r="F2601" s="28"/>
      <c r="G2601" s="28"/>
      <c r="H2601" s="28"/>
    </row>
    <row r="2602" spans="4:8" s="25" customFormat="1" ht="11.25" customHeight="1">
      <c r="D2602" s="28"/>
      <c r="E2602" s="28"/>
      <c r="F2602" s="28"/>
      <c r="G2602" s="28"/>
      <c r="H2602" s="28"/>
    </row>
    <row r="2603" spans="4:8" s="25" customFormat="1" ht="11.25" customHeight="1">
      <c r="D2603" s="28"/>
      <c r="E2603" s="28"/>
      <c r="F2603" s="28"/>
      <c r="G2603" s="28"/>
      <c r="H2603" s="28"/>
    </row>
    <row r="2604" spans="4:8" s="25" customFormat="1" ht="11.25" customHeight="1">
      <c r="D2604" s="28"/>
      <c r="E2604" s="28"/>
      <c r="F2604" s="28"/>
      <c r="G2604" s="28"/>
      <c r="H2604" s="28"/>
    </row>
    <row r="2605" spans="4:8" s="25" customFormat="1" ht="11.25" customHeight="1">
      <c r="D2605" s="28"/>
      <c r="E2605" s="28"/>
      <c r="F2605" s="28"/>
      <c r="G2605" s="28"/>
      <c r="H2605" s="28"/>
    </row>
    <row r="2606" spans="4:8" s="25" customFormat="1" ht="11.25" customHeight="1">
      <c r="D2606" s="28"/>
      <c r="E2606" s="28"/>
      <c r="F2606" s="28"/>
      <c r="G2606" s="28"/>
      <c r="H2606" s="28"/>
    </row>
    <row r="2607" spans="4:8" s="25" customFormat="1" ht="11.25" customHeight="1">
      <c r="D2607" s="28"/>
      <c r="E2607" s="28"/>
      <c r="F2607" s="28"/>
      <c r="G2607" s="28"/>
      <c r="H2607" s="28"/>
    </row>
    <row r="2608" spans="4:8" s="25" customFormat="1" ht="11.25" customHeight="1">
      <c r="D2608" s="28"/>
      <c r="E2608" s="28"/>
      <c r="F2608" s="28"/>
      <c r="G2608" s="28"/>
      <c r="H2608" s="28"/>
    </row>
    <row r="2609" spans="4:8" s="25" customFormat="1" ht="11.25" customHeight="1">
      <c r="D2609" s="28"/>
      <c r="E2609" s="28"/>
      <c r="F2609" s="28"/>
      <c r="G2609" s="28"/>
      <c r="H2609" s="28"/>
    </row>
    <row r="2610" spans="4:8" s="25" customFormat="1" ht="11.25" customHeight="1">
      <c r="D2610" s="28"/>
      <c r="E2610" s="28"/>
      <c r="F2610" s="28"/>
      <c r="G2610" s="28"/>
      <c r="H2610" s="28"/>
    </row>
    <row r="2611" spans="4:8" s="25" customFormat="1" ht="11.25" customHeight="1">
      <c r="D2611" s="28"/>
      <c r="E2611" s="28"/>
      <c r="F2611" s="28"/>
      <c r="G2611" s="28"/>
      <c r="H2611" s="28"/>
    </row>
    <row r="2612" spans="4:8" s="25" customFormat="1" ht="11.25" customHeight="1">
      <c r="D2612" s="28"/>
      <c r="E2612" s="28"/>
      <c r="F2612" s="28"/>
      <c r="G2612" s="28"/>
      <c r="H2612" s="28"/>
    </row>
    <row r="2613" spans="4:8" s="25" customFormat="1" ht="11.25" customHeight="1">
      <c r="D2613" s="28"/>
      <c r="E2613" s="28"/>
      <c r="F2613" s="28"/>
      <c r="G2613" s="28"/>
      <c r="H2613" s="28"/>
    </row>
    <row r="2614" spans="4:8" s="25" customFormat="1" ht="11.25" customHeight="1">
      <c r="D2614" s="28"/>
      <c r="E2614" s="28"/>
      <c r="F2614" s="28"/>
      <c r="G2614" s="28"/>
      <c r="H2614" s="28"/>
    </row>
    <row r="2615" spans="4:8" s="25" customFormat="1" ht="11.25" customHeight="1">
      <c r="D2615" s="28"/>
      <c r="E2615" s="28"/>
      <c r="F2615" s="28"/>
      <c r="G2615" s="28"/>
      <c r="H2615" s="28"/>
    </row>
    <row r="2616" spans="4:8" s="25" customFormat="1" ht="11.25" customHeight="1">
      <c r="D2616" s="28"/>
      <c r="E2616" s="28"/>
      <c r="F2616" s="28"/>
      <c r="G2616" s="28"/>
      <c r="H2616" s="28"/>
    </row>
    <row r="2617" spans="4:8" s="25" customFormat="1" ht="11.25" customHeight="1">
      <c r="D2617" s="28"/>
      <c r="E2617" s="28"/>
      <c r="F2617" s="28"/>
      <c r="G2617" s="28"/>
      <c r="H2617" s="28"/>
    </row>
    <row r="2618" spans="4:8" s="25" customFormat="1" ht="11.25" customHeight="1">
      <c r="D2618" s="28"/>
      <c r="E2618" s="28"/>
      <c r="F2618" s="28"/>
      <c r="G2618" s="28"/>
      <c r="H2618" s="28"/>
    </row>
    <row r="2619" spans="4:8" s="25" customFormat="1" ht="11.25" customHeight="1">
      <c r="D2619" s="28"/>
      <c r="E2619" s="28"/>
      <c r="F2619" s="28"/>
      <c r="G2619" s="28"/>
      <c r="H2619" s="28"/>
    </row>
    <row r="2620" spans="4:8" s="25" customFormat="1" ht="11.25" customHeight="1">
      <c r="D2620" s="28"/>
      <c r="E2620" s="28"/>
      <c r="F2620" s="28"/>
      <c r="G2620" s="28"/>
      <c r="H2620" s="28"/>
    </row>
    <row r="2621" spans="4:8" s="25" customFormat="1" ht="11.25" customHeight="1">
      <c r="D2621" s="28"/>
      <c r="E2621" s="28"/>
      <c r="F2621" s="28"/>
      <c r="G2621" s="28"/>
      <c r="H2621" s="28"/>
    </row>
    <row r="2622" spans="4:8" s="25" customFormat="1" ht="11.25" customHeight="1">
      <c r="D2622" s="28"/>
      <c r="E2622" s="28"/>
      <c r="F2622" s="28"/>
      <c r="G2622" s="28"/>
      <c r="H2622" s="28"/>
    </row>
    <row r="2623" spans="4:8" s="25" customFormat="1" ht="11.25" customHeight="1">
      <c r="D2623" s="28"/>
      <c r="E2623" s="28"/>
      <c r="F2623" s="28"/>
      <c r="G2623" s="28"/>
      <c r="H2623" s="28"/>
    </row>
    <row r="2624" spans="4:8" s="25" customFormat="1" ht="11.25" customHeight="1">
      <c r="D2624" s="28"/>
      <c r="E2624" s="28"/>
      <c r="F2624" s="28"/>
      <c r="G2624" s="28"/>
      <c r="H2624" s="28"/>
    </row>
    <row r="2625" spans="4:8" s="25" customFormat="1" ht="11.25" customHeight="1">
      <c r="D2625" s="28"/>
      <c r="E2625" s="28"/>
      <c r="F2625" s="28"/>
      <c r="G2625" s="28"/>
      <c r="H2625" s="28"/>
    </row>
    <row r="2626" spans="4:8" s="25" customFormat="1" ht="11.25" customHeight="1">
      <c r="D2626" s="28"/>
      <c r="E2626" s="28"/>
      <c r="F2626" s="28"/>
      <c r="G2626" s="28"/>
      <c r="H2626" s="28"/>
    </row>
    <row r="2627" spans="4:8" s="25" customFormat="1" ht="11.25" customHeight="1">
      <c r="D2627" s="28"/>
      <c r="E2627" s="28"/>
      <c r="F2627" s="28"/>
      <c r="G2627" s="28"/>
      <c r="H2627" s="28"/>
    </row>
    <row r="2628" spans="4:8" s="25" customFormat="1" ht="11.25" customHeight="1">
      <c r="D2628" s="28"/>
      <c r="E2628" s="28"/>
      <c r="F2628" s="28"/>
      <c r="G2628" s="28"/>
      <c r="H2628" s="28"/>
    </row>
    <row r="2629" spans="4:8" s="25" customFormat="1" ht="11.25" customHeight="1">
      <c r="D2629" s="28"/>
      <c r="E2629" s="28"/>
      <c r="F2629" s="28"/>
      <c r="G2629" s="28"/>
      <c r="H2629" s="28"/>
    </row>
    <row r="2630" spans="4:8" s="25" customFormat="1" ht="11.25" customHeight="1">
      <c r="D2630" s="28"/>
      <c r="E2630" s="28"/>
      <c r="F2630" s="28"/>
      <c r="G2630" s="28"/>
      <c r="H2630" s="28"/>
    </row>
    <row r="2631" spans="4:8" s="25" customFormat="1" ht="11.25" customHeight="1">
      <c r="D2631" s="28"/>
      <c r="E2631" s="28"/>
      <c r="F2631" s="28"/>
      <c r="G2631" s="28"/>
      <c r="H2631" s="28"/>
    </row>
    <row r="2632" spans="4:8" s="25" customFormat="1" ht="11.25" customHeight="1">
      <c r="D2632" s="28"/>
      <c r="E2632" s="28"/>
      <c r="F2632" s="28"/>
      <c r="G2632" s="28"/>
      <c r="H2632" s="28"/>
    </row>
    <row r="2633" spans="4:8" s="25" customFormat="1" ht="11.25" customHeight="1">
      <c r="D2633" s="28"/>
      <c r="E2633" s="28"/>
      <c r="F2633" s="28"/>
      <c r="G2633" s="28"/>
      <c r="H2633" s="28"/>
    </row>
    <row r="2634" spans="4:8" s="25" customFormat="1" ht="11.25" customHeight="1">
      <c r="D2634" s="28"/>
      <c r="E2634" s="28"/>
      <c r="F2634" s="28"/>
      <c r="G2634" s="28"/>
      <c r="H2634" s="28"/>
    </row>
    <row r="2635" spans="4:8" s="25" customFormat="1" ht="11.25" customHeight="1">
      <c r="D2635" s="28"/>
      <c r="E2635" s="28"/>
      <c r="F2635" s="28"/>
      <c r="G2635" s="28"/>
      <c r="H2635" s="28"/>
    </row>
    <row r="2636" spans="4:8" s="25" customFormat="1" ht="11.25" customHeight="1">
      <c r="D2636" s="28"/>
      <c r="E2636" s="28"/>
      <c r="F2636" s="28"/>
      <c r="G2636" s="28"/>
      <c r="H2636" s="28"/>
    </row>
    <row r="2637" spans="4:8" s="25" customFormat="1" ht="11.25" customHeight="1">
      <c r="D2637" s="28"/>
      <c r="E2637" s="28"/>
      <c r="F2637" s="28"/>
      <c r="G2637" s="28"/>
      <c r="H2637" s="28"/>
    </row>
    <row r="2638" spans="4:8" s="25" customFormat="1" ht="11.25" customHeight="1">
      <c r="D2638" s="28"/>
      <c r="E2638" s="28"/>
      <c r="F2638" s="28"/>
      <c r="G2638" s="28"/>
      <c r="H2638" s="28"/>
    </row>
    <row r="2639" spans="4:8" s="25" customFormat="1" ht="11.25" customHeight="1">
      <c r="D2639" s="28"/>
      <c r="E2639" s="28"/>
      <c r="F2639" s="28"/>
      <c r="G2639" s="28"/>
      <c r="H2639" s="28"/>
    </row>
    <row r="2640" spans="4:8" s="25" customFormat="1" ht="11.25" customHeight="1">
      <c r="D2640" s="28"/>
      <c r="E2640" s="28"/>
      <c r="F2640" s="28"/>
      <c r="G2640" s="28"/>
      <c r="H2640" s="28"/>
    </row>
    <row r="2641" spans="4:8" s="25" customFormat="1" ht="11.25" customHeight="1">
      <c r="D2641" s="28"/>
      <c r="E2641" s="28"/>
      <c r="F2641" s="28"/>
      <c r="G2641" s="28"/>
      <c r="H2641" s="28"/>
    </row>
    <row r="2642" spans="4:8" s="25" customFormat="1" ht="11.25" customHeight="1">
      <c r="D2642" s="28"/>
      <c r="E2642" s="28"/>
      <c r="F2642" s="28"/>
      <c r="G2642" s="28"/>
      <c r="H2642" s="28"/>
    </row>
    <row r="2643" spans="4:8" s="25" customFormat="1" ht="11.25" customHeight="1">
      <c r="D2643" s="28"/>
      <c r="E2643" s="28"/>
      <c r="F2643" s="28"/>
      <c r="G2643" s="28"/>
      <c r="H2643" s="28"/>
    </row>
    <row r="2644" spans="4:8" s="25" customFormat="1" ht="11.25" customHeight="1">
      <c r="D2644" s="28"/>
      <c r="E2644" s="28"/>
      <c r="F2644" s="28"/>
      <c r="G2644" s="28"/>
      <c r="H2644" s="28"/>
    </row>
    <row r="2645" spans="4:8" s="25" customFormat="1" ht="11.25" customHeight="1">
      <c r="D2645" s="28"/>
      <c r="E2645" s="28"/>
      <c r="F2645" s="28"/>
      <c r="G2645" s="28"/>
      <c r="H2645" s="28"/>
    </row>
    <row r="2646" spans="4:8" s="25" customFormat="1" ht="11.25" customHeight="1">
      <c r="D2646" s="28"/>
      <c r="E2646" s="28"/>
      <c r="F2646" s="28"/>
      <c r="G2646" s="28"/>
      <c r="H2646" s="28"/>
    </row>
    <row r="2647" spans="4:8" s="25" customFormat="1" ht="11.25" customHeight="1">
      <c r="D2647" s="28"/>
      <c r="E2647" s="28"/>
      <c r="F2647" s="28"/>
      <c r="G2647" s="28"/>
      <c r="H2647" s="28"/>
    </row>
    <row r="2648" spans="4:8" s="25" customFormat="1" ht="11.25" customHeight="1">
      <c r="D2648" s="28"/>
      <c r="E2648" s="28"/>
      <c r="F2648" s="28"/>
      <c r="G2648" s="28"/>
      <c r="H2648" s="28"/>
    </row>
    <row r="2649" spans="4:8" s="25" customFormat="1" ht="11.25" customHeight="1">
      <c r="D2649" s="28"/>
      <c r="E2649" s="28"/>
      <c r="F2649" s="28"/>
      <c r="G2649" s="28"/>
      <c r="H2649" s="28"/>
    </row>
    <row r="2650" spans="4:8" s="25" customFormat="1" ht="11.25" customHeight="1">
      <c r="D2650" s="28"/>
      <c r="E2650" s="28"/>
      <c r="F2650" s="28"/>
      <c r="G2650" s="28"/>
      <c r="H2650" s="28"/>
    </row>
    <row r="2651" spans="4:8" s="25" customFormat="1" ht="11.25" customHeight="1">
      <c r="D2651" s="28"/>
      <c r="E2651" s="28"/>
      <c r="F2651" s="28"/>
      <c r="G2651" s="28"/>
      <c r="H2651" s="28"/>
    </row>
    <row r="2652" spans="4:8" s="25" customFormat="1" ht="11.25" customHeight="1">
      <c r="D2652" s="28"/>
      <c r="E2652" s="28"/>
      <c r="F2652" s="28"/>
      <c r="G2652" s="28"/>
      <c r="H2652" s="28"/>
    </row>
    <row r="2653" spans="4:8" s="25" customFormat="1" ht="11.25" customHeight="1">
      <c r="D2653" s="28"/>
      <c r="E2653" s="28"/>
      <c r="F2653" s="28"/>
      <c r="G2653" s="28"/>
      <c r="H2653" s="28"/>
    </row>
    <row r="2654" spans="4:8" s="25" customFormat="1" ht="11.25" customHeight="1">
      <c r="D2654" s="28"/>
      <c r="E2654" s="28"/>
      <c r="F2654" s="28"/>
      <c r="G2654" s="28"/>
      <c r="H2654" s="28"/>
    </row>
    <row r="2655" spans="4:8" s="25" customFormat="1" ht="11.25" customHeight="1">
      <c r="D2655" s="28"/>
      <c r="E2655" s="28"/>
      <c r="F2655" s="28"/>
      <c r="G2655" s="28"/>
      <c r="H2655" s="28"/>
    </row>
    <row r="2656" spans="4:8" s="25" customFormat="1" ht="11.25" customHeight="1">
      <c r="D2656" s="28"/>
      <c r="E2656" s="28"/>
      <c r="F2656" s="28"/>
      <c r="G2656" s="28"/>
      <c r="H2656" s="28"/>
    </row>
    <row r="2657" spans="4:8" s="25" customFormat="1" ht="11.25" customHeight="1">
      <c r="D2657" s="28"/>
      <c r="E2657" s="28"/>
      <c r="F2657" s="28"/>
      <c r="G2657" s="28"/>
      <c r="H2657" s="28"/>
    </row>
    <row r="2658" spans="4:8" s="25" customFormat="1" ht="11.25" customHeight="1">
      <c r="D2658" s="28"/>
      <c r="E2658" s="28"/>
      <c r="F2658" s="28"/>
      <c r="G2658" s="28"/>
      <c r="H2658" s="28"/>
    </row>
    <row r="2659" spans="4:8" s="25" customFormat="1" ht="11.25" customHeight="1">
      <c r="D2659" s="28"/>
      <c r="E2659" s="28"/>
      <c r="F2659" s="28"/>
      <c r="G2659" s="28"/>
      <c r="H2659" s="28"/>
    </row>
    <row r="2660" spans="4:8" s="25" customFormat="1" ht="11.25" customHeight="1">
      <c r="D2660" s="28"/>
      <c r="E2660" s="28"/>
      <c r="F2660" s="28"/>
      <c r="G2660" s="28"/>
      <c r="H2660" s="28"/>
    </row>
    <row r="2661" spans="4:8" s="25" customFormat="1" ht="11.25" customHeight="1">
      <c r="D2661" s="28"/>
      <c r="E2661" s="28"/>
      <c r="F2661" s="28"/>
      <c r="G2661" s="28"/>
      <c r="H2661" s="28"/>
    </row>
    <row r="2662" spans="4:8" s="25" customFormat="1" ht="11.25" customHeight="1">
      <c r="D2662" s="28"/>
      <c r="E2662" s="28"/>
      <c r="F2662" s="28"/>
      <c r="G2662" s="28"/>
      <c r="H2662" s="28"/>
    </row>
    <row r="2663" spans="4:8" s="25" customFormat="1" ht="11.25" customHeight="1">
      <c r="D2663" s="28"/>
      <c r="E2663" s="28"/>
      <c r="F2663" s="28"/>
      <c r="G2663" s="28"/>
      <c r="H2663" s="28"/>
    </row>
    <row r="2664" spans="4:8" s="25" customFormat="1" ht="11.25" customHeight="1">
      <c r="D2664" s="28"/>
      <c r="E2664" s="28"/>
      <c r="F2664" s="28"/>
      <c r="G2664" s="28"/>
      <c r="H2664" s="28"/>
    </row>
    <row r="2665" spans="4:8" s="25" customFormat="1" ht="11.25" customHeight="1">
      <c r="D2665" s="28"/>
      <c r="E2665" s="28"/>
      <c r="F2665" s="28"/>
      <c r="G2665" s="28"/>
      <c r="H2665" s="28"/>
    </row>
    <row r="2666" spans="4:8" s="25" customFormat="1" ht="11.25" customHeight="1">
      <c r="D2666" s="28"/>
      <c r="E2666" s="28"/>
      <c r="F2666" s="28"/>
      <c r="G2666" s="28"/>
      <c r="H2666" s="28"/>
    </row>
    <row r="2667" spans="4:8" s="25" customFormat="1" ht="11.25" customHeight="1">
      <c r="D2667" s="28"/>
      <c r="E2667" s="28"/>
      <c r="F2667" s="28"/>
      <c r="G2667" s="28"/>
      <c r="H2667" s="28"/>
    </row>
    <row r="2668" spans="4:8" s="25" customFormat="1" ht="11.25" customHeight="1">
      <c r="D2668" s="28"/>
      <c r="E2668" s="28"/>
      <c r="F2668" s="28"/>
      <c r="G2668" s="28"/>
      <c r="H2668" s="28"/>
    </row>
    <row r="2669" spans="4:8" s="25" customFormat="1" ht="11.25" customHeight="1">
      <c r="D2669" s="28"/>
      <c r="E2669" s="28"/>
      <c r="F2669" s="28"/>
      <c r="G2669" s="28"/>
      <c r="H2669" s="28"/>
    </row>
    <row r="2670" spans="4:8" s="25" customFormat="1" ht="11.25" customHeight="1">
      <c r="D2670" s="28"/>
      <c r="E2670" s="28"/>
      <c r="F2670" s="28"/>
      <c r="G2670" s="28"/>
      <c r="H2670" s="28"/>
    </row>
    <row r="2671" spans="4:8" s="25" customFormat="1" ht="11.25" customHeight="1">
      <c r="D2671" s="28"/>
      <c r="E2671" s="28"/>
      <c r="F2671" s="28"/>
      <c r="G2671" s="28"/>
      <c r="H2671" s="28"/>
    </row>
    <row r="2672" spans="4:8" s="25" customFormat="1" ht="11.25" customHeight="1">
      <c r="D2672" s="28"/>
      <c r="E2672" s="28"/>
      <c r="F2672" s="28"/>
      <c r="G2672" s="28"/>
      <c r="H2672" s="28"/>
    </row>
    <row r="2673" spans="4:8" s="25" customFormat="1" ht="11.25" customHeight="1">
      <c r="D2673" s="28"/>
      <c r="E2673" s="28"/>
      <c r="F2673" s="28"/>
      <c r="G2673" s="28"/>
      <c r="H2673" s="28"/>
    </row>
    <row r="2674" spans="4:8" s="25" customFormat="1" ht="11.25" customHeight="1">
      <c r="D2674" s="28"/>
      <c r="E2674" s="28"/>
      <c r="F2674" s="28"/>
      <c r="G2674" s="28"/>
      <c r="H2674" s="28"/>
    </row>
    <row r="2675" spans="4:8" s="25" customFormat="1" ht="11.25" customHeight="1">
      <c r="D2675" s="28"/>
      <c r="E2675" s="28"/>
      <c r="F2675" s="28"/>
      <c r="G2675" s="28"/>
      <c r="H2675" s="28"/>
    </row>
    <row r="2676" spans="4:8" s="25" customFormat="1" ht="11.25" customHeight="1">
      <c r="D2676" s="28"/>
      <c r="E2676" s="28"/>
      <c r="F2676" s="28"/>
      <c r="G2676" s="28"/>
      <c r="H2676" s="28"/>
    </row>
    <row r="2677" spans="4:8" s="25" customFormat="1" ht="11.25" customHeight="1">
      <c r="D2677" s="28"/>
      <c r="E2677" s="28"/>
      <c r="F2677" s="28"/>
      <c r="G2677" s="28"/>
      <c r="H2677" s="28"/>
    </row>
    <row r="2678" spans="4:8" s="25" customFormat="1" ht="11.25" customHeight="1">
      <c r="D2678" s="28"/>
      <c r="E2678" s="28"/>
      <c r="F2678" s="28"/>
      <c r="G2678" s="28"/>
      <c r="H2678" s="28"/>
    </row>
    <row r="2679" spans="4:8" s="25" customFormat="1" ht="11.25" customHeight="1">
      <c r="D2679" s="28"/>
      <c r="E2679" s="28"/>
      <c r="F2679" s="28"/>
      <c r="G2679" s="28"/>
      <c r="H2679" s="28"/>
    </row>
    <row r="2680" spans="4:8" s="25" customFormat="1" ht="11.25" customHeight="1">
      <c r="D2680" s="28"/>
      <c r="E2680" s="28"/>
      <c r="F2680" s="28"/>
      <c r="G2680" s="28"/>
      <c r="H2680" s="28"/>
    </row>
    <row r="2681" spans="4:8" s="25" customFormat="1" ht="11.25" customHeight="1">
      <c r="D2681" s="28"/>
      <c r="E2681" s="28"/>
      <c r="F2681" s="28"/>
      <c r="G2681" s="28"/>
      <c r="H2681" s="28"/>
    </row>
    <row r="2682" spans="4:8" s="25" customFormat="1" ht="11.25" customHeight="1">
      <c r="D2682" s="28"/>
      <c r="E2682" s="28"/>
      <c r="F2682" s="28"/>
      <c r="G2682" s="28"/>
      <c r="H2682" s="28"/>
    </row>
    <row r="2683" spans="4:8" s="25" customFormat="1" ht="11.25" customHeight="1">
      <c r="D2683" s="28"/>
      <c r="E2683" s="28"/>
      <c r="F2683" s="28"/>
      <c r="G2683" s="28"/>
      <c r="H2683" s="28"/>
    </row>
    <row r="2684" spans="4:8" s="25" customFormat="1" ht="11.25" customHeight="1">
      <c r="D2684" s="28"/>
      <c r="E2684" s="28"/>
      <c r="F2684" s="28"/>
      <c r="G2684" s="28"/>
      <c r="H2684" s="28"/>
    </row>
    <row r="2685" spans="4:8" s="25" customFormat="1" ht="11.25" customHeight="1">
      <c r="D2685" s="28"/>
      <c r="E2685" s="28"/>
      <c r="F2685" s="28"/>
      <c r="G2685" s="28"/>
      <c r="H2685" s="28"/>
    </row>
    <row r="2686" spans="4:8" s="25" customFormat="1" ht="11.25" customHeight="1">
      <c r="D2686" s="28"/>
      <c r="E2686" s="28"/>
      <c r="F2686" s="28"/>
      <c r="G2686" s="28"/>
      <c r="H2686" s="28"/>
    </row>
    <row r="2687" spans="4:8" s="25" customFormat="1" ht="11.25" customHeight="1">
      <c r="D2687" s="28"/>
      <c r="E2687" s="28"/>
      <c r="F2687" s="28"/>
      <c r="G2687" s="28"/>
      <c r="H2687" s="28"/>
    </row>
    <row r="2688" spans="4:8" s="25" customFormat="1" ht="11.25" customHeight="1">
      <c r="D2688" s="28"/>
      <c r="E2688" s="28"/>
      <c r="F2688" s="28"/>
      <c r="G2688" s="28"/>
      <c r="H2688" s="28"/>
    </row>
    <row r="2689" spans="4:8" s="25" customFormat="1" ht="11.25" customHeight="1">
      <c r="D2689" s="28"/>
      <c r="E2689" s="28"/>
      <c r="F2689" s="28"/>
      <c r="G2689" s="28"/>
      <c r="H2689" s="28"/>
    </row>
    <row r="2690" spans="4:8" s="25" customFormat="1" ht="11.25" customHeight="1">
      <c r="D2690" s="28"/>
      <c r="E2690" s="28"/>
      <c r="F2690" s="28"/>
      <c r="G2690" s="28"/>
      <c r="H2690" s="28"/>
    </row>
    <row r="2691" spans="4:8" s="25" customFormat="1" ht="11.25" customHeight="1">
      <c r="D2691" s="28"/>
      <c r="E2691" s="28"/>
      <c r="F2691" s="28"/>
      <c r="G2691" s="28"/>
      <c r="H2691" s="28"/>
    </row>
    <row r="2692" spans="4:8" s="25" customFormat="1" ht="11.25" customHeight="1">
      <c r="D2692" s="28"/>
      <c r="E2692" s="28"/>
      <c r="F2692" s="28"/>
      <c r="G2692" s="28"/>
      <c r="H2692" s="28"/>
    </row>
    <row r="2693" spans="4:8" s="25" customFormat="1" ht="11.25" customHeight="1">
      <c r="D2693" s="28"/>
      <c r="E2693" s="28"/>
      <c r="F2693" s="28"/>
      <c r="G2693" s="28"/>
      <c r="H2693" s="28"/>
    </row>
    <row r="2694" spans="4:8" s="25" customFormat="1" ht="11.25" customHeight="1">
      <c r="D2694" s="28"/>
      <c r="E2694" s="28"/>
      <c r="F2694" s="28"/>
      <c r="G2694" s="28"/>
      <c r="H2694" s="28"/>
    </row>
    <row r="2695" spans="4:8" s="25" customFormat="1" ht="11.25" customHeight="1">
      <c r="D2695" s="28"/>
      <c r="E2695" s="28"/>
      <c r="F2695" s="28"/>
      <c r="G2695" s="28"/>
      <c r="H2695" s="28"/>
    </row>
    <row r="2696" spans="4:8" s="25" customFormat="1" ht="11.25" customHeight="1">
      <c r="D2696" s="28"/>
      <c r="E2696" s="28"/>
      <c r="F2696" s="28"/>
      <c r="G2696" s="28"/>
      <c r="H2696" s="28"/>
    </row>
    <row r="2697" spans="4:8" s="25" customFormat="1" ht="11.25" customHeight="1">
      <c r="D2697" s="28"/>
      <c r="E2697" s="28"/>
      <c r="F2697" s="28"/>
      <c r="G2697" s="28"/>
      <c r="H2697" s="28"/>
    </row>
    <row r="2698" spans="4:8" s="25" customFormat="1" ht="11.25" customHeight="1">
      <c r="D2698" s="28"/>
      <c r="E2698" s="28"/>
      <c r="F2698" s="28"/>
      <c r="G2698" s="28"/>
      <c r="H2698" s="28"/>
    </row>
    <row r="2699" spans="4:8" s="25" customFormat="1" ht="11.25" customHeight="1">
      <c r="D2699" s="28"/>
      <c r="E2699" s="28"/>
      <c r="F2699" s="28"/>
      <c r="G2699" s="28"/>
      <c r="H2699" s="28"/>
    </row>
    <row r="2700" spans="4:8" s="25" customFormat="1" ht="11.25" customHeight="1">
      <c r="D2700" s="28"/>
      <c r="E2700" s="28"/>
      <c r="F2700" s="28"/>
      <c r="G2700" s="28"/>
      <c r="H2700" s="28"/>
    </row>
    <row r="2701" spans="4:8" s="25" customFormat="1" ht="11.25" customHeight="1">
      <c r="D2701" s="28"/>
      <c r="E2701" s="28"/>
      <c r="F2701" s="28"/>
      <c r="G2701" s="28"/>
      <c r="H2701" s="28"/>
    </row>
    <row r="2702" spans="4:8" s="25" customFormat="1" ht="11.25" customHeight="1">
      <c r="D2702" s="28"/>
      <c r="E2702" s="28"/>
      <c r="F2702" s="28"/>
      <c r="G2702" s="28"/>
      <c r="H2702" s="28"/>
    </row>
    <row r="2703" spans="4:8" s="25" customFormat="1" ht="11.25" customHeight="1">
      <c r="D2703" s="28"/>
      <c r="E2703" s="28"/>
      <c r="F2703" s="28"/>
      <c r="G2703" s="28"/>
      <c r="H2703" s="28"/>
    </row>
    <row r="2704" spans="4:8" s="25" customFormat="1" ht="11.25" customHeight="1">
      <c r="D2704" s="28"/>
      <c r="E2704" s="28"/>
      <c r="F2704" s="28"/>
      <c r="G2704" s="28"/>
      <c r="H2704" s="28"/>
    </row>
    <row r="2705" spans="4:8" s="25" customFormat="1" ht="11.25" customHeight="1">
      <c r="D2705" s="28"/>
      <c r="E2705" s="28"/>
      <c r="F2705" s="28"/>
      <c r="G2705" s="28"/>
      <c r="H2705" s="28"/>
    </row>
    <row r="2706" spans="4:8" s="25" customFormat="1" ht="11.25" customHeight="1">
      <c r="D2706" s="28"/>
      <c r="E2706" s="28"/>
      <c r="F2706" s="28"/>
      <c r="G2706" s="28"/>
      <c r="H2706" s="28"/>
    </row>
    <row r="2707" spans="4:8" s="25" customFormat="1" ht="11.25" customHeight="1">
      <c r="D2707" s="28"/>
      <c r="E2707" s="28"/>
      <c r="F2707" s="28"/>
      <c r="G2707" s="28"/>
      <c r="H2707" s="28"/>
    </row>
    <row r="2708" spans="4:8" s="25" customFormat="1" ht="11.25" customHeight="1">
      <c r="D2708" s="28"/>
      <c r="E2708" s="28"/>
      <c r="F2708" s="28"/>
      <c r="G2708" s="28"/>
      <c r="H2708" s="28"/>
    </row>
    <row r="2709" spans="4:8" s="25" customFormat="1" ht="11.25" customHeight="1">
      <c r="D2709" s="28"/>
      <c r="E2709" s="28"/>
      <c r="F2709" s="28"/>
      <c r="G2709" s="28"/>
      <c r="H2709" s="28"/>
    </row>
    <row r="2710" spans="4:8" s="25" customFormat="1" ht="11.25" customHeight="1">
      <c r="D2710" s="28"/>
      <c r="E2710" s="28"/>
      <c r="F2710" s="28"/>
      <c r="G2710" s="28"/>
      <c r="H2710" s="28"/>
    </row>
    <row r="2711" spans="4:8" s="25" customFormat="1" ht="11.25" customHeight="1">
      <c r="D2711" s="28"/>
      <c r="E2711" s="28"/>
      <c r="F2711" s="28"/>
      <c r="G2711" s="28"/>
      <c r="H2711" s="28"/>
    </row>
    <row r="2712" spans="4:8" s="25" customFormat="1" ht="11.25" customHeight="1">
      <c r="D2712" s="28"/>
      <c r="E2712" s="28"/>
      <c r="F2712" s="28"/>
      <c r="G2712" s="28"/>
      <c r="H2712" s="28"/>
    </row>
    <row r="2713" spans="4:8" s="25" customFormat="1" ht="11.25" customHeight="1">
      <c r="D2713" s="28"/>
      <c r="E2713" s="28"/>
      <c r="F2713" s="28"/>
      <c r="G2713" s="28"/>
      <c r="H2713" s="28"/>
    </row>
    <row r="2714" spans="4:8" s="25" customFormat="1" ht="11.25" customHeight="1">
      <c r="D2714" s="28"/>
      <c r="E2714" s="28"/>
      <c r="F2714" s="28"/>
      <c r="G2714" s="28"/>
      <c r="H2714" s="28"/>
    </row>
    <row r="2715" spans="4:8" s="25" customFormat="1" ht="11.25" customHeight="1">
      <c r="D2715" s="28"/>
      <c r="E2715" s="28"/>
      <c r="F2715" s="28"/>
      <c r="G2715" s="28"/>
      <c r="H2715" s="28"/>
    </row>
    <row r="2716" spans="4:8" s="25" customFormat="1" ht="11.25" customHeight="1">
      <c r="D2716" s="28"/>
      <c r="E2716" s="28"/>
      <c r="F2716" s="28"/>
      <c r="G2716" s="28"/>
      <c r="H2716" s="28"/>
    </row>
    <row r="2717" spans="4:8" s="25" customFormat="1" ht="11.25" customHeight="1">
      <c r="D2717" s="28"/>
      <c r="E2717" s="28"/>
      <c r="F2717" s="28"/>
      <c r="G2717" s="28"/>
      <c r="H2717" s="28"/>
    </row>
    <row r="2718" spans="4:8" s="25" customFormat="1" ht="11.25" customHeight="1">
      <c r="D2718" s="28"/>
      <c r="E2718" s="28"/>
      <c r="F2718" s="28"/>
      <c r="G2718" s="28"/>
      <c r="H2718" s="28"/>
    </row>
    <row r="2719" spans="4:8" s="25" customFormat="1" ht="11.25" customHeight="1">
      <c r="D2719" s="28"/>
      <c r="E2719" s="28"/>
      <c r="F2719" s="28"/>
      <c r="G2719" s="28"/>
      <c r="H2719" s="28"/>
    </row>
    <row r="2720" spans="4:8" s="25" customFormat="1" ht="11.25" customHeight="1">
      <c r="D2720" s="28"/>
      <c r="E2720" s="28"/>
      <c r="F2720" s="28"/>
      <c r="G2720" s="28"/>
      <c r="H2720" s="28"/>
    </row>
    <row r="2721" spans="4:8" s="25" customFormat="1" ht="11.25" customHeight="1">
      <c r="D2721" s="28"/>
      <c r="E2721" s="28"/>
      <c r="F2721" s="28"/>
      <c r="G2721" s="28"/>
      <c r="H2721" s="28"/>
    </row>
    <row r="2722" spans="4:8" s="25" customFormat="1" ht="11.25" customHeight="1">
      <c r="D2722" s="28"/>
      <c r="E2722" s="28"/>
      <c r="F2722" s="28"/>
      <c r="G2722" s="28"/>
      <c r="H2722" s="28"/>
    </row>
    <row r="2723" spans="4:8" s="25" customFormat="1" ht="11.25" customHeight="1">
      <c r="D2723" s="28"/>
      <c r="E2723" s="28"/>
      <c r="F2723" s="28"/>
      <c r="G2723" s="28"/>
      <c r="H2723" s="28"/>
    </row>
    <row r="2724" spans="4:8" s="25" customFormat="1" ht="11.25" customHeight="1">
      <c r="D2724" s="28"/>
      <c r="E2724" s="28"/>
      <c r="F2724" s="28"/>
      <c r="G2724" s="28"/>
      <c r="H2724" s="28"/>
    </row>
    <row r="2725" spans="4:8" s="25" customFormat="1" ht="11.25" customHeight="1">
      <c r="D2725" s="28"/>
      <c r="E2725" s="28"/>
      <c r="F2725" s="28"/>
      <c r="G2725" s="28"/>
      <c r="H2725" s="28"/>
    </row>
    <row r="2726" spans="4:8" s="25" customFormat="1" ht="11.25" customHeight="1">
      <c r="D2726" s="28"/>
      <c r="E2726" s="28"/>
      <c r="F2726" s="28"/>
      <c r="G2726" s="28"/>
      <c r="H2726" s="28"/>
    </row>
    <row r="2727" spans="4:8" s="25" customFormat="1" ht="11.25" customHeight="1">
      <c r="D2727" s="28"/>
      <c r="E2727" s="28"/>
      <c r="F2727" s="28"/>
      <c r="G2727" s="28"/>
      <c r="H2727" s="28"/>
    </row>
    <row r="2728" spans="4:8" s="25" customFormat="1" ht="11.25" customHeight="1">
      <c r="D2728" s="28"/>
      <c r="E2728" s="28"/>
      <c r="F2728" s="28"/>
      <c r="G2728" s="28"/>
      <c r="H2728" s="28"/>
    </row>
    <row r="2729" spans="4:8" s="25" customFormat="1" ht="11.25" customHeight="1">
      <c r="D2729" s="28"/>
      <c r="E2729" s="28"/>
      <c r="F2729" s="28"/>
      <c r="G2729" s="28"/>
      <c r="H2729" s="28"/>
    </row>
    <row r="2730" spans="4:8" s="25" customFormat="1" ht="11.25" customHeight="1">
      <c r="D2730" s="28"/>
      <c r="E2730" s="28"/>
      <c r="F2730" s="28"/>
      <c r="G2730" s="28"/>
      <c r="H2730" s="28"/>
    </row>
    <row r="2731" spans="4:8" s="25" customFormat="1" ht="11.25" customHeight="1">
      <c r="D2731" s="28"/>
      <c r="E2731" s="28"/>
      <c r="F2731" s="28"/>
      <c r="G2731" s="28"/>
      <c r="H2731" s="28"/>
    </row>
    <row r="2732" spans="4:8" s="25" customFormat="1" ht="11.25" customHeight="1">
      <c r="D2732" s="28"/>
      <c r="E2732" s="28"/>
      <c r="F2732" s="28"/>
      <c r="G2732" s="28"/>
      <c r="H2732" s="28"/>
    </row>
    <row r="2733" spans="4:8" s="25" customFormat="1" ht="11.25" customHeight="1">
      <c r="D2733" s="28"/>
      <c r="E2733" s="28"/>
      <c r="F2733" s="28"/>
      <c r="G2733" s="28"/>
      <c r="H2733" s="28"/>
    </row>
    <row r="2734" spans="4:8" s="25" customFormat="1" ht="11.25" customHeight="1">
      <c r="D2734" s="28"/>
      <c r="E2734" s="28"/>
      <c r="F2734" s="28"/>
      <c r="G2734" s="28"/>
      <c r="H2734" s="28"/>
    </row>
    <row r="2735" spans="4:8" s="25" customFormat="1" ht="11.25" customHeight="1">
      <c r="D2735" s="28"/>
      <c r="E2735" s="28"/>
      <c r="F2735" s="28"/>
      <c r="G2735" s="28"/>
      <c r="H2735" s="28"/>
    </row>
    <row r="2736" spans="4:8" s="25" customFormat="1" ht="11.25" customHeight="1">
      <c r="D2736" s="28"/>
      <c r="E2736" s="28"/>
      <c r="F2736" s="28"/>
      <c r="G2736" s="28"/>
      <c r="H2736" s="28"/>
    </row>
    <row r="2737" spans="4:8" s="25" customFormat="1" ht="11.25" customHeight="1">
      <c r="D2737" s="28"/>
      <c r="E2737" s="28"/>
      <c r="F2737" s="28"/>
      <c r="G2737" s="28"/>
      <c r="H2737" s="28"/>
    </row>
    <row r="2738" spans="4:8" s="25" customFormat="1" ht="11.25" customHeight="1">
      <c r="D2738" s="28"/>
      <c r="E2738" s="28"/>
      <c r="F2738" s="28"/>
      <c r="G2738" s="28"/>
      <c r="H2738" s="28"/>
    </row>
    <row r="2739" spans="4:8" s="25" customFormat="1" ht="11.25" customHeight="1">
      <c r="D2739" s="28"/>
      <c r="E2739" s="28"/>
      <c r="F2739" s="28"/>
      <c r="G2739" s="28"/>
      <c r="H2739" s="28"/>
    </row>
    <row r="2740" spans="4:8" s="25" customFormat="1" ht="11.25" customHeight="1">
      <c r="D2740" s="28"/>
      <c r="E2740" s="28"/>
      <c r="F2740" s="28"/>
      <c r="G2740" s="28"/>
      <c r="H2740" s="28"/>
    </row>
    <row r="2741" spans="4:8" s="25" customFormat="1" ht="11.25" customHeight="1">
      <c r="D2741" s="28"/>
      <c r="E2741" s="28"/>
      <c r="F2741" s="28"/>
      <c r="G2741" s="28"/>
      <c r="H2741" s="28"/>
    </row>
    <row r="2742" spans="4:8" s="25" customFormat="1" ht="11.25" customHeight="1">
      <c r="D2742" s="28"/>
      <c r="E2742" s="28"/>
      <c r="F2742" s="28"/>
      <c r="G2742" s="28"/>
      <c r="H2742" s="28"/>
    </row>
    <row r="2743" spans="4:8" s="25" customFormat="1" ht="11.25" customHeight="1">
      <c r="D2743" s="28"/>
      <c r="E2743" s="28"/>
      <c r="F2743" s="28"/>
      <c r="G2743" s="28"/>
      <c r="H2743" s="28"/>
    </row>
    <row r="2744" spans="4:8" s="25" customFormat="1" ht="11.25" customHeight="1">
      <c r="D2744" s="28"/>
      <c r="E2744" s="28"/>
      <c r="F2744" s="28"/>
      <c r="G2744" s="28"/>
      <c r="H2744" s="28"/>
    </row>
    <row r="2745" spans="4:8" s="25" customFormat="1" ht="11.25" customHeight="1">
      <c r="D2745" s="28"/>
      <c r="E2745" s="28"/>
      <c r="F2745" s="28"/>
      <c r="G2745" s="28"/>
      <c r="H2745" s="28"/>
    </row>
    <row r="2746" spans="4:8" s="25" customFormat="1" ht="11.25" customHeight="1">
      <c r="D2746" s="28"/>
      <c r="E2746" s="28"/>
      <c r="F2746" s="28"/>
      <c r="G2746" s="28"/>
      <c r="H2746" s="28"/>
    </row>
    <row r="2747" spans="4:8" s="25" customFormat="1" ht="11.25" customHeight="1">
      <c r="D2747" s="28"/>
      <c r="E2747" s="28"/>
      <c r="F2747" s="28"/>
      <c r="G2747" s="28"/>
      <c r="H2747" s="28"/>
    </row>
    <row r="2748" spans="4:8" s="25" customFormat="1" ht="11.25" customHeight="1">
      <c r="D2748" s="28"/>
      <c r="E2748" s="28"/>
      <c r="F2748" s="28"/>
      <c r="G2748" s="28"/>
      <c r="H2748" s="28"/>
    </row>
    <row r="2749" spans="4:8" s="25" customFormat="1" ht="11.25" customHeight="1">
      <c r="D2749" s="28"/>
      <c r="E2749" s="28"/>
      <c r="F2749" s="28"/>
      <c r="G2749" s="28"/>
      <c r="H2749" s="28"/>
    </row>
    <row r="2750" spans="4:8" s="25" customFormat="1" ht="11.25" customHeight="1">
      <c r="D2750" s="28"/>
      <c r="E2750" s="28"/>
      <c r="F2750" s="28"/>
      <c r="G2750" s="28"/>
      <c r="H2750" s="28"/>
    </row>
    <row r="2751" spans="4:8" s="25" customFormat="1" ht="11.25" customHeight="1">
      <c r="D2751" s="28"/>
      <c r="E2751" s="28"/>
      <c r="F2751" s="28"/>
      <c r="G2751" s="28"/>
      <c r="H2751" s="28"/>
    </row>
    <row r="2752" spans="4:8" s="25" customFormat="1" ht="11.25" customHeight="1">
      <c r="D2752" s="28"/>
      <c r="E2752" s="28"/>
      <c r="F2752" s="28"/>
      <c r="G2752" s="28"/>
      <c r="H2752" s="28"/>
    </row>
    <row r="2753" spans="4:8" s="25" customFormat="1" ht="11.25" customHeight="1">
      <c r="D2753" s="28"/>
      <c r="E2753" s="28"/>
      <c r="F2753" s="28"/>
      <c r="G2753" s="28"/>
      <c r="H2753" s="28"/>
    </row>
    <row r="2754" spans="4:8" s="25" customFormat="1" ht="11.25" customHeight="1">
      <c r="D2754" s="28"/>
      <c r="E2754" s="28"/>
      <c r="F2754" s="28"/>
      <c r="G2754" s="28"/>
      <c r="H2754" s="28"/>
    </row>
    <row r="2755" spans="4:8" s="25" customFormat="1" ht="11.25" customHeight="1">
      <c r="D2755" s="28"/>
      <c r="E2755" s="28"/>
      <c r="F2755" s="28"/>
      <c r="G2755" s="28"/>
      <c r="H2755" s="28"/>
    </row>
    <row r="2756" spans="4:8" s="25" customFormat="1" ht="11.25" customHeight="1">
      <c r="D2756" s="28"/>
      <c r="E2756" s="28"/>
      <c r="F2756" s="28"/>
      <c r="G2756" s="28"/>
      <c r="H2756" s="28"/>
    </row>
    <row r="2757" spans="4:8" s="25" customFormat="1" ht="11.25" customHeight="1">
      <c r="D2757" s="28"/>
      <c r="E2757" s="28"/>
      <c r="F2757" s="28"/>
      <c r="G2757" s="28"/>
      <c r="H2757" s="28"/>
    </row>
    <row r="2758" spans="4:8" s="25" customFormat="1" ht="11.25" customHeight="1">
      <c r="D2758" s="28"/>
      <c r="E2758" s="28"/>
      <c r="F2758" s="28"/>
      <c r="G2758" s="28"/>
      <c r="H2758" s="28"/>
    </row>
    <row r="2759" spans="4:8" s="25" customFormat="1" ht="11.25" customHeight="1">
      <c r="D2759" s="28"/>
      <c r="E2759" s="28"/>
      <c r="F2759" s="28"/>
      <c r="G2759" s="28"/>
      <c r="H2759" s="28"/>
    </row>
    <row r="2760" spans="4:8" s="25" customFormat="1" ht="11.25" customHeight="1">
      <c r="D2760" s="28"/>
      <c r="E2760" s="28"/>
      <c r="F2760" s="28"/>
      <c r="G2760" s="28"/>
      <c r="H2760" s="28"/>
    </row>
    <row r="2761" spans="4:8" s="25" customFormat="1" ht="11.25" customHeight="1">
      <c r="D2761" s="28"/>
      <c r="E2761" s="28"/>
      <c r="F2761" s="28"/>
      <c r="G2761" s="28"/>
      <c r="H2761" s="28"/>
    </row>
    <row r="2762" spans="4:8" s="25" customFormat="1" ht="11.25" customHeight="1">
      <c r="D2762" s="28"/>
      <c r="E2762" s="28"/>
      <c r="F2762" s="28"/>
      <c r="G2762" s="28"/>
      <c r="H2762" s="28"/>
    </row>
    <row r="2763" spans="4:8" s="25" customFormat="1" ht="11.25" customHeight="1">
      <c r="D2763" s="28"/>
      <c r="E2763" s="28"/>
      <c r="F2763" s="28"/>
      <c r="G2763" s="28"/>
      <c r="H2763" s="28"/>
    </row>
    <row r="2764" spans="4:8" s="25" customFormat="1" ht="11.25" customHeight="1">
      <c r="D2764" s="28"/>
      <c r="E2764" s="28"/>
      <c r="F2764" s="28"/>
      <c r="G2764" s="28"/>
      <c r="H2764" s="28"/>
    </row>
    <row r="2765" spans="4:8" s="25" customFormat="1" ht="11.25" customHeight="1">
      <c r="D2765" s="28"/>
      <c r="E2765" s="28"/>
      <c r="F2765" s="28"/>
      <c r="G2765" s="28"/>
      <c r="H2765" s="28"/>
    </row>
    <row r="2766" spans="4:8" s="25" customFormat="1" ht="11.25" customHeight="1">
      <c r="D2766" s="28"/>
      <c r="E2766" s="28"/>
      <c r="F2766" s="28"/>
      <c r="G2766" s="28"/>
      <c r="H2766" s="28"/>
    </row>
    <row r="2767" spans="4:8" s="25" customFormat="1" ht="11.25" customHeight="1">
      <c r="D2767" s="28"/>
      <c r="E2767" s="28"/>
      <c r="F2767" s="28"/>
      <c r="G2767" s="28"/>
      <c r="H2767" s="28"/>
    </row>
    <row r="2768" spans="4:8" s="25" customFormat="1" ht="11.25" customHeight="1">
      <c r="D2768" s="28"/>
      <c r="E2768" s="28"/>
      <c r="F2768" s="28"/>
      <c r="G2768" s="28"/>
      <c r="H2768" s="28"/>
    </row>
    <row r="2769" spans="4:8" s="25" customFormat="1" ht="11.25" customHeight="1">
      <c r="D2769" s="28"/>
      <c r="E2769" s="28"/>
      <c r="F2769" s="28"/>
      <c r="G2769" s="28"/>
      <c r="H2769" s="28"/>
    </row>
    <row r="2770" spans="4:8" s="25" customFormat="1" ht="11.25" customHeight="1">
      <c r="D2770" s="28"/>
      <c r="E2770" s="28"/>
      <c r="F2770" s="28"/>
      <c r="G2770" s="28"/>
      <c r="H2770" s="28"/>
    </row>
    <row r="2771" spans="4:8" s="25" customFormat="1" ht="11.25" customHeight="1">
      <c r="D2771" s="28"/>
      <c r="E2771" s="28"/>
      <c r="F2771" s="28"/>
      <c r="G2771" s="28"/>
      <c r="H2771" s="28"/>
    </row>
    <row r="2772" spans="4:8" s="25" customFormat="1" ht="11.25" customHeight="1">
      <c r="D2772" s="28"/>
      <c r="E2772" s="28"/>
      <c r="F2772" s="28"/>
      <c r="G2772" s="28"/>
      <c r="H2772" s="28"/>
    </row>
    <row r="2773" spans="4:8" s="25" customFormat="1" ht="11.25" customHeight="1">
      <c r="D2773" s="28"/>
      <c r="E2773" s="28"/>
      <c r="F2773" s="28"/>
      <c r="G2773" s="28"/>
      <c r="H2773" s="28"/>
    </row>
    <row r="2774" spans="4:8" s="25" customFormat="1" ht="11.25" customHeight="1">
      <c r="D2774" s="28"/>
      <c r="E2774" s="28"/>
      <c r="F2774" s="28"/>
      <c r="G2774" s="28"/>
      <c r="H2774" s="28"/>
    </row>
    <row r="2775" spans="4:8" s="25" customFormat="1" ht="11.25" customHeight="1">
      <c r="D2775" s="28"/>
      <c r="E2775" s="28"/>
      <c r="F2775" s="28"/>
      <c r="G2775" s="28"/>
      <c r="H2775" s="28"/>
    </row>
    <row r="2776" spans="4:8" s="25" customFormat="1" ht="11.25" customHeight="1">
      <c r="D2776" s="28"/>
      <c r="E2776" s="28"/>
      <c r="F2776" s="28"/>
      <c r="G2776" s="28"/>
      <c r="H2776" s="28"/>
    </row>
    <row r="2777" spans="4:8" s="25" customFormat="1" ht="11.25" customHeight="1">
      <c r="D2777" s="28"/>
      <c r="E2777" s="28"/>
      <c r="F2777" s="28"/>
      <c r="G2777" s="28"/>
      <c r="H2777" s="28"/>
    </row>
    <row r="2778" spans="4:8" s="25" customFormat="1" ht="11.25" customHeight="1">
      <c r="D2778" s="28"/>
      <c r="E2778" s="28"/>
      <c r="F2778" s="28"/>
      <c r="G2778" s="28"/>
      <c r="H2778" s="28"/>
    </row>
    <row r="2779" spans="4:8" s="25" customFormat="1" ht="11.25" customHeight="1">
      <c r="D2779" s="28"/>
      <c r="E2779" s="28"/>
      <c r="F2779" s="28"/>
      <c r="G2779" s="28"/>
      <c r="H2779" s="28"/>
    </row>
    <row r="2780" spans="4:8" s="25" customFormat="1" ht="11.25" customHeight="1">
      <c r="D2780" s="28"/>
      <c r="E2780" s="28"/>
      <c r="F2780" s="28"/>
      <c r="G2780" s="28"/>
      <c r="H2780" s="28"/>
    </row>
    <row r="2781" spans="4:8" s="25" customFormat="1" ht="11.25" customHeight="1">
      <c r="D2781" s="28"/>
      <c r="E2781" s="28"/>
      <c r="F2781" s="28"/>
      <c r="G2781" s="28"/>
      <c r="H2781" s="28"/>
    </row>
    <row r="2782" spans="4:8" s="25" customFormat="1" ht="11.25" customHeight="1">
      <c r="D2782" s="28"/>
      <c r="E2782" s="28"/>
      <c r="F2782" s="28"/>
      <c r="G2782" s="28"/>
      <c r="H2782" s="28"/>
    </row>
    <row r="2783" spans="4:8" s="25" customFormat="1" ht="11.25" customHeight="1">
      <c r="D2783" s="28"/>
      <c r="E2783" s="28"/>
      <c r="F2783" s="28"/>
      <c r="G2783" s="28"/>
      <c r="H2783" s="28"/>
    </row>
    <row r="2784" spans="4:8" s="25" customFormat="1" ht="11.25" customHeight="1">
      <c r="D2784" s="28"/>
      <c r="E2784" s="28"/>
      <c r="F2784" s="28"/>
      <c r="G2784" s="28"/>
      <c r="H2784" s="28"/>
    </row>
    <row r="2785" spans="4:8" s="25" customFormat="1" ht="11.25" customHeight="1">
      <c r="D2785" s="28"/>
      <c r="E2785" s="28"/>
      <c r="F2785" s="28"/>
      <c r="G2785" s="28"/>
      <c r="H2785" s="28"/>
    </row>
    <row r="2786" spans="4:8" s="25" customFormat="1" ht="11.25" customHeight="1">
      <c r="D2786" s="28"/>
      <c r="E2786" s="28"/>
      <c r="F2786" s="28"/>
      <c r="G2786" s="28"/>
      <c r="H2786" s="28"/>
    </row>
    <row r="2787" spans="4:8" s="25" customFormat="1" ht="11.25" customHeight="1">
      <c r="D2787" s="28"/>
      <c r="E2787" s="28"/>
      <c r="F2787" s="28"/>
      <c r="G2787" s="28"/>
      <c r="H2787" s="28"/>
    </row>
    <row r="2788" spans="4:8" s="25" customFormat="1" ht="11.25" customHeight="1">
      <c r="D2788" s="28"/>
      <c r="E2788" s="28"/>
      <c r="F2788" s="28"/>
      <c r="G2788" s="28"/>
      <c r="H2788" s="28"/>
    </row>
    <row r="2789" spans="4:8" s="25" customFormat="1" ht="11.25" customHeight="1">
      <c r="D2789" s="28"/>
      <c r="E2789" s="28"/>
      <c r="F2789" s="28"/>
      <c r="G2789" s="28"/>
      <c r="H2789" s="28"/>
    </row>
    <row r="2790" spans="4:8" s="25" customFormat="1" ht="11.25" customHeight="1">
      <c r="D2790" s="28"/>
      <c r="E2790" s="28"/>
      <c r="F2790" s="28"/>
      <c r="G2790" s="28"/>
      <c r="H2790" s="28"/>
    </row>
    <row r="2791" spans="4:8" s="25" customFormat="1" ht="11.25" customHeight="1">
      <c r="D2791" s="28"/>
      <c r="E2791" s="28"/>
      <c r="F2791" s="28"/>
      <c r="G2791" s="28"/>
      <c r="H2791" s="28"/>
    </row>
    <row r="2792" spans="4:8" s="25" customFormat="1" ht="11.25" customHeight="1">
      <c r="D2792" s="28"/>
      <c r="E2792" s="28"/>
      <c r="F2792" s="28"/>
      <c r="G2792" s="28"/>
      <c r="H2792" s="28"/>
    </row>
    <row r="2793" spans="4:8" s="25" customFormat="1" ht="11.25" customHeight="1">
      <c r="D2793" s="28"/>
      <c r="E2793" s="28"/>
      <c r="F2793" s="28"/>
      <c r="G2793" s="28"/>
      <c r="H2793" s="28"/>
    </row>
    <row r="2794" spans="4:8" s="25" customFormat="1" ht="11.25" customHeight="1">
      <c r="D2794" s="28"/>
      <c r="E2794" s="28"/>
      <c r="F2794" s="28"/>
      <c r="G2794" s="28"/>
      <c r="H2794" s="28"/>
    </row>
    <row r="2795" spans="4:8" s="25" customFormat="1" ht="11.25" customHeight="1">
      <c r="D2795" s="28"/>
      <c r="E2795" s="28"/>
      <c r="F2795" s="28"/>
      <c r="G2795" s="28"/>
      <c r="H2795" s="28"/>
    </row>
    <row r="2796" spans="4:8" s="25" customFormat="1" ht="11.25" customHeight="1">
      <c r="D2796" s="28"/>
      <c r="E2796" s="28"/>
      <c r="F2796" s="28"/>
      <c r="G2796" s="28"/>
      <c r="H2796" s="28"/>
    </row>
    <row r="2797" spans="4:8" s="25" customFormat="1" ht="11.25" customHeight="1">
      <c r="D2797" s="28"/>
      <c r="E2797" s="28"/>
      <c r="F2797" s="28"/>
      <c r="G2797" s="28"/>
      <c r="H2797" s="28"/>
    </row>
    <row r="2798" spans="4:8" s="25" customFormat="1" ht="11.25" customHeight="1">
      <c r="D2798" s="28"/>
      <c r="E2798" s="28"/>
      <c r="F2798" s="28"/>
      <c r="G2798" s="28"/>
      <c r="H2798" s="28"/>
    </row>
    <row r="2799" spans="4:8" s="25" customFormat="1" ht="11.25" customHeight="1">
      <c r="D2799" s="28"/>
      <c r="E2799" s="28"/>
      <c r="F2799" s="28"/>
      <c r="G2799" s="28"/>
      <c r="H2799" s="28"/>
    </row>
    <row r="2800" spans="4:8" s="25" customFormat="1" ht="11.25" customHeight="1">
      <c r="D2800" s="28"/>
      <c r="E2800" s="28"/>
      <c r="F2800" s="28"/>
      <c r="G2800" s="28"/>
      <c r="H2800" s="28"/>
    </row>
    <row r="2801" spans="4:8" s="25" customFormat="1" ht="11.25" customHeight="1">
      <c r="D2801" s="28"/>
      <c r="E2801" s="28"/>
      <c r="F2801" s="28"/>
      <c r="G2801" s="28"/>
      <c r="H2801" s="28"/>
    </row>
    <row r="2802" spans="4:8" s="25" customFormat="1" ht="11.25" customHeight="1">
      <c r="D2802" s="28"/>
      <c r="E2802" s="28"/>
      <c r="F2802" s="28"/>
      <c r="G2802" s="28"/>
      <c r="H2802" s="28"/>
    </row>
    <row r="2803" spans="4:8" s="25" customFormat="1" ht="11.25" customHeight="1">
      <c r="D2803" s="28"/>
      <c r="E2803" s="28"/>
      <c r="F2803" s="28"/>
      <c r="G2803" s="28"/>
      <c r="H2803" s="28"/>
    </row>
    <row r="2804" spans="4:8" s="25" customFormat="1" ht="11.25" customHeight="1">
      <c r="D2804" s="28"/>
      <c r="E2804" s="28"/>
      <c r="F2804" s="28"/>
      <c r="G2804" s="28"/>
      <c r="H2804" s="28"/>
    </row>
    <row r="2805" spans="4:8" s="25" customFormat="1" ht="11.25" customHeight="1">
      <c r="D2805" s="28"/>
      <c r="E2805" s="28"/>
      <c r="F2805" s="28"/>
      <c r="G2805" s="28"/>
      <c r="H2805" s="28"/>
    </row>
    <row r="2806" spans="4:8" s="25" customFormat="1" ht="11.25" customHeight="1">
      <c r="D2806" s="28"/>
      <c r="E2806" s="28"/>
      <c r="F2806" s="28"/>
      <c r="G2806" s="28"/>
      <c r="H2806" s="28"/>
    </row>
    <row r="2807" spans="4:8" s="25" customFormat="1" ht="11.25" customHeight="1">
      <c r="D2807" s="28"/>
      <c r="E2807" s="28"/>
      <c r="F2807" s="28"/>
      <c r="G2807" s="28"/>
      <c r="H2807" s="28"/>
    </row>
    <row r="2808" spans="4:8" s="25" customFormat="1" ht="11.25" customHeight="1">
      <c r="D2808" s="28"/>
      <c r="E2808" s="28"/>
      <c r="F2808" s="28"/>
      <c r="G2808" s="28"/>
      <c r="H2808" s="28"/>
    </row>
    <row r="2809" spans="4:8" s="25" customFormat="1" ht="11.25" customHeight="1">
      <c r="D2809" s="28"/>
      <c r="E2809" s="28"/>
      <c r="F2809" s="28"/>
      <c r="G2809" s="28"/>
      <c r="H2809" s="28"/>
    </row>
    <row r="2810" spans="4:8" s="25" customFormat="1" ht="11.25" customHeight="1">
      <c r="D2810" s="28"/>
      <c r="E2810" s="28"/>
      <c r="F2810" s="28"/>
      <c r="G2810" s="28"/>
      <c r="H2810" s="28"/>
    </row>
    <row r="2811" spans="4:8" s="25" customFormat="1" ht="11.25" customHeight="1">
      <c r="D2811" s="28"/>
      <c r="E2811" s="28"/>
      <c r="F2811" s="28"/>
      <c r="G2811" s="28"/>
      <c r="H2811" s="28"/>
    </row>
    <row r="2812" spans="4:8" s="25" customFormat="1" ht="11.25" customHeight="1">
      <c r="D2812" s="28"/>
      <c r="E2812" s="28"/>
      <c r="F2812" s="28"/>
      <c r="G2812" s="28"/>
      <c r="H2812" s="28"/>
    </row>
    <row r="2813" spans="4:8" s="25" customFormat="1" ht="11.25" customHeight="1">
      <c r="D2813" s="28"/>
      <c r="E2813" s="28"/>
      <c r="F2813" s="28"/>
      <c r="G2813" s="28"/>
      <c r="H2813" s="28"/>
    </row>
    <row r="2814" spans="4:8" s="25" customFormat="1" ht="11.25" customHeight="1">
      <c r="D2814" s="28"/>
      <c r="E2814" s="28"/>
      <c r="F2814" s="28"/>
      <c r="G2814" s="28"/>
      <c r="H2814" s="28"/>
    </row>
    <row r="2815" spans="4:8" s="25" customFormat="1" ht="11.25" customHeight="1">
      <c r="D2815" s="28"/>
      <c r="E2815" s="28"/>
      <c r="F2815" s="28"/>
      <c r="G2815" s="28"/>
      <c r="H2815" s="28"/>
    </row>
    <row r="2816" spans="4:8" s="25" customFormat="1" ht="11.25" customHeight="1">
      <c r="D2816" s="28"/>
      <c r="E2816" s="28"/>
      <c r="F2816" s="28"/>
      <c r="G2816" s="28"/>
      <c r="H2816" s="28"/>
    </row>
    <row r="2817" spans="4:8" s="25" customFormat="1" ht="11.25" customHeight="1">
      <c r="D2817" s="28"/>
      <c r="E2817" s="28"/>
      <c r="F2817" s="28"/>
      <c r="G2817" s="28"/>
      <c r="H2817" s="28"/>
    </row>
    <row r="2818" spans="4:8" s="25" customFormat="1" ht="11.25" customHeight="1">
      <c r="D2818" s="28"/>
      <c r="E2818" s="28"/>
      <c r="F2818" s="28"/>
      <c r="G2818" s="28"/>
      <c r="H2818" s="28"/>
    </row>
    <row r="2819" spans="4:8" s="25" customFormat="1" ht="11.25" customHeight="1">
      <c r="D2819" s="28"/>
      <c r="E2819" s="28"/>
      <c r="F2819" s="28"/>
      <c r="G2819" s="28"/>
      <c r="H2819" s="28"/>
    </row>
    <row r="2820" spans="4:8" s="25" customFormat="1" ht="11.25" customHeight="1">
      <c r="D2820" s="28"/>
      <c r="E2820" s="28"/>
      <c r="F2820" s="28"/>
      <c r="G2820" s="28"/>
      <c r="H2820" s="28"/>
    </row>
    <row r="2821" spans="4:8" s="25" customFormat="1" ht="11.25" customHeight="1">
      <c r="D2821" s="28"/>
      <c r="E2821" s="28"/>
      <c r="F2821" s="28"/>
      <c r="G2821" s="28"/>
      <c r="H2821" s="28"/>
    </row>
    <row r="2822" spans="4:8" s="25" customFormat="1" ht="11.25" customHeight="1">
      <c r="D2822" s="28"/>
      <c r="E2822" s="28"/>
      <c r="F2822" s="28"/>
      <c r="G2822" s="28"/>
      <c r="H2822" s="28"/>
    </row>
    <row r="2823" spans="4:8" s="25" customFormat="1" ht="11.25" customHeight="1">
      <c r="D2823" s="28"/>
      <c r="E2823" s="28"/>
      <c r="F2823" s="28"/>
      <c r="G2823" s="28"/>
      <c r="H2823" s="28"/>
    </row>
    <row r="2824" spans="4:8" s="25" customFormat="1" ht="11.25" customHeight="1">
      <c r="D2824" s="28"/>
      <c r="E2824" s="28"/>
      <c r="F2824" s="28"/>
      <c r="G2824" s="28"/>
      <c r="H2824" s="28"/>
    </row>
    <row r="2825" spans="4:8" s="25" customFormat="1" ht="11.25" customHeight="1">
      <c r="D2825" s="28"/>
      <c r="E2825" s="28"/>
      <c r="F2825" s="28"/>
      <c r="G2825" s="28"/>
      <c r="H2825" s="28"/>
    </row>
    <row r="2826" spans="4:8" s="25" customFormat="1" ht="11.25" customHeight="1">
      <c r="D2826" s="28"/>
      <c r="E2826" s="28"/>
      <c r="F2826" s="28"/>
      <c r="G2826" s="28"/>
      <c r="H2826" s="28"/>
    </row>
    <row r="2827" spans="4:8" s="25" customFormat="1" ht="11.25" customHeight="1">
      <c r="D2827" s="28"/>
      <c r="E2827" s="28"/>
      <c r="F2827" s="28"/>
      <c r="G2827" s="28"/>
      <c r="H2827" s="28"/>
    </row>
    <row r="2828" spans="4:8" s="25" customFormat="1" ht="11.25" customHeight="1">
      <c r="D2828" s="28"/>
      <c r="E2828" s="28"/>
      <c r="F2828" s="28"/>
      <c r="G2828" s="28"/>
      <c r="H2828" s="28"/>
    </row>
    <row r="2829" spans="4:8" s="25" customFormat="1" ht="11.25" customHeight="1">
      <c r="D2829" s="28"/>
      <c r="E2829" s="28"/>
      <c r="F2829" s="28"/>
      <c r="G2829" s="28"/>
      <c r="H2829" s="28"/>
    </row>
    <row r="2830" spans="4:8" s="25" customFormat="1" ht="11.25" customHeight="1">
      <c r="D2830" s="28"/>
      <c r="E2830" s="28"/>
      <c r="F2830" s="28"/>
      <c r="G2830" s="28"/>
      <c r="H2830" s="28"/>
    </row>
    <row r="2831" spans="4:8" s="25" customFormat="1" ht="11.25" customHeight="1">
      <c r="D2831" s="28"/>
      <c r="E2831" s="28"/>
      <c r="F2831" s="28"/>
      <c r="G2831" s="28"/>
      <c r="H2831" s="28"/>
    </row>
    <row r="2832" spans="4:8" s="25" customFormat="1" ht="11.25" customHeight="1">
      <c r="D2832" s="28"/>
      <c r="E2832" s="28"/>
      <c r="F2832" s="28"/>
      <c r="G2832" s="28"/>
      <c r="H2832" s="28"/>
    </row>
    <row r="2833" spans="4:8" s="25" customFormat="1" ht="11.25" customHeight="1">
      <c r="D2833" s="28"/>
      <c r="E2833" s="28"/>
      <c r="F2833" s="28"/>
      <c r="G2833" s="28"/>
      <c r="H2833" s="28"/>
    </row>
    <row r="2834" spans="4:8" s="25" customFormat="1" ht="11.25" customHeight="1">
      <c r="D2834" s="28"/>
      <c r="E2834" s="28"/>
      <c r="F2834" s="28"/>
      <c r="G2834" s="28"/>
      <c r="H2834" s="28"/>
    </row>
    <row r="2835" spans="4:8" s="25" customFormat="1" ht="11.25" customHeight="1">
      <c r="D2835" s="28"/>
      <c r="E2835" s="28"/>
      <c r="F2835" s="28"/>
      <c r="G2835" s="28"/>
      <c r="H2835" s="28"/>
    </row>
    <row r="2836" spans="4:8" s="25" customFormat="1" ht="11.25" customHeight="1">
      <c r="D2836" s="28"/>
      <c r="E2836" s="28"/>
      <c r="F2836" s="28"/>
      <c r="G2836" s="28"/>
      <c r="H2836" s="28"/>
    </row>
    <row r="2837" spans="4:8" s="25" customFormat="1" ht="11.25" customHeight="1">
      <c r="D2837" s="28"/>
      <c r="E2837" s="28"/>
      <c r="F2837" s="28"/>
      <c r="G2837" s="28"/>
      <c r="H2837" s="28"/>
    </row>
    <row r="2838" spans="4:8" s="25" customFormat="1" ht="11.25" customHeight="1">
      <c r="D2838" s="28"/>
      <c r="E2838" s="28"/>
      <c r="F2838" s="28"/>
      <c r="G2838" s="28"/>
      <c r="H2838" s="28"/>
    </row>
    <row r="2839" spans="4:8" s="25" customFormat="1" ht="11.25" customHeight="1">
      <c r="D2839" s="28"/>
      <c r="E2839" s="28"/>
      <c r="F2839" s="28"/>
      <c r="G2839" s="28"/>
      <c r="H2839" s="28"/>
    </row>
    <row r="2840" spans="4:8" s="25" customFormat="1" ht="11.25" customHeight="1">
      <c r="D2840" s="28"/>
      <c r="E2840" s="28"/>
      <c r="F2840" s="28"/>
      <c r="G2840" s="28"/>
      <c r="H2840" s="28"/>
    </row>
    <row r="2841" spans="4:8" s="25" customFormat="1" ht="11.25" customHeight="1">
      <c r="D2841" s="28"/>
      <c r="E2841" s="28"/>
      <c r="F2841" s="28"/>
      <c r="G2841" s="28"/>
      <c r="H2841" s="28"/>
    </row>
    <row r="2842" spans="4:8" s="25" customFormat="1" ht="11.25" customHeight="1">
      <c r="D2842" s="28"/>
      <c r="E2842" s="28"/>
      <c r="F2842" s="28"/>
      <c r="G2842" s="28"/>
      <c r="H2842" s="28"/>
    </row>
    <row r="2843" spans="4:8" s="25" customFormat="1" ht="11.25" customHeight="1">
      <c r="D2843" s="28"/>
      <c r="E2843" s="28"/>
      <c r="F2843" s="28"/>
      <c r="G2843" s="28"/>
      <c r="H2843" s="28"/>
    </row>
    <row r="2844" spans="4:8" s="25" customFormat="1" ht="11.25" customHeight="1">
      <c r="D2844" s="28"/>
      <c r="E2844" s="28"/>
      <c r="F2844" s="28"/>
      <c r="G2844" s="28"/>
      <c r="H2844" s="28"/>
    </row>
    <row r="2845" spans="4:8" s="25" customFormat="1" ht="11.25" customHeight="1">
      <c r="D2845" s="28"/>
      <c r="E2845" s="28"/>
      <c r="F2845" s="28"/>
      <c r="G2845" s="28"/>
      <c r="H2845" s="28"/>
    </row>
    <row r="2846" spans="4:8" s="25" customFormat="1" ht="11.25" customHeight="1">
      <c r="D2846" s="28"/>
      <c r="E2846" s="28"/>
      <c r="F2846" s="28"/>
      <c r="G2846" s="28"/>
      <c r="H2846" s="28"/>
    </row>
    <row r="2847" spans="4:8" s="25" customFormat="1" ht="11.25" customHeight="1">
      <c r="D2847" s="28"/>
      <c r="E2847" s="28"/>
      <c r="F2847" s="28"/>
      <c r="G2847" s="28"/>
      <c r="H2847" s="28"/>
    </row>
    <row r="2848" spans="4:8" s="25" customFormat="1" ht="11.25" customHeight="1">
      <c r="D2848" s="28"/>
      <c r="E2848" s="28"/>
      <c r="F2848" s="28"/>
      <c r="G2848" s="28"/>
      <c r="H2848" s="28"/>
    </row>
    <row r="2849" spans="4:8" s="25" customFormat="1" ht="11.25" customHeight="1">
      <c r="D2849" s="28"/>
      <c r="E2849" s="28"/>
      <c r="F2849" s="28"/>
      <c r="G2849" s="28"/>
      <c r="H2849" s="28"/>
    </row>
    <row r="2850" spans="4:8" s="25" customFormat="1" ht="11.25" customHeight="1">
      <c r="D2850" s="28"/>
      <c r="E2850" s="28"/>
      <c r="F2850" s="28"/>
      <c r="G2850" s="28"/>
      <c r="H2850" s="28"/>
    </row>
    <row r="2851" spans="4:8" s="25" customFormat="1" ht="11.25" customHeight="1">
      <c r="D2851" s="28"/>
      <c r="E2851" s="28"/>
      <c r="F2851" s="28"/>
      <c r="G2851" s="28"/>
      <c r="H2851" s="28"/>
    </row>
    <row r="2852" spans="4:8" s="25" customFormat="1" ht="11.25" customHeight="1">
      <c r="D2852" s="28"/>
      <c r="E2852" s="28"/>
      <c r="F2852" s="28"/>
      <c r="G2852" s="28"/>
      <c r="H2852" s="28"/>
    </row>
    <row r="2853" spans="4:8" s="25" customFormat="1" ht="11.25" customHeight="1">
      <c r="D2853" s="28"/>
      <c r="E2853" s="28"/>
      <c r="F2853" s="28"/>
      <c r="G2853" s="28"/>
      <c r="H2853" s="28"/>
    </row>
    <row r="2854" spans="4:8" s="25" customFormat="1" ht="11.25" customHeight="1">
      <c r="D2854" s="28"/>
      <c r="E2854" s="28"/>
      <c r="F2854" s="28"/>
      <c r="G2854" s="28"/>
      <c r="H2854" s="28"/>
    </row>
    <row r="2855" spans="4:8" s="25" customFormat="1" ht="11.25" customHeight="1">
      <c r="D2855" s="28"/>
      <c r="E2855" s="28"/>
      <c r="F2855" s="28"/>
      <c r="G2855" s="28"/>
      <c r="H2855" s="28"/>
    </row>
    <row r="2856" spans="4:8" s="25" customFormat="1" ht="11.25" customHeight="1">
      <c r="D2856" s="28"/>
      <c r="E2856" s="28"/>
      <c r="F2856" s="28"/>
      <c r="G2856" s="28"/>
      <c r="H2856" s="28"/>
    </row>
    <row r="2857" spans="4:8" s="25" customFormat="1" ht="11.25" customHeight="1">
      <c r="D2857" s="28"/>
      <c r="E2857" s="28"/>
      <c r="F2857" s="28"/>
      <c r="G2857" s="28"/>
      <c r="H2857" s="28"/>
    </row>
    <row r="2858" spans="4:8" s="25" customFormat="1" ht="11.25" customHeight="1">
      <c r="D2858" s="28"/>
      <c r="E2858" s="28"/>
      <c r="F2858" s="28"/>
      <c r="G2858" s="28"/>
      <c r="H2858" s="28"/>
    </row>
    <row r="2859" spans="4:8" s="25" customFormat="1" ht="11.25" customHeight="1">
      <c r="D2859" s="28"/>
      <c r="E2859" s="28"/>
      <c r="F2859" s="28"/>
      <c r="G2859" s="28"/>
      <c r="H2859" s="28"/>
    </row>
    <row r="2860" spans="4:8" s="25" customFormat="1" ht="11.25" customHeight="1">
      <c r="D2860" s="28"/>
      <c r="E2860" s="28"/>
      <c r="F2860" s="28"/>
      <c r="G2860" s="28"/>
      <c r="H2860" s="28"/>
    </row>
    <row r="2861" spans="4:8" s="25" customFormat="1" ht="11.25" customHeight="1">
      <c r="D2861" s="28"/>
      <c r="E2861" s="28"/>
      <c r="F2861" s="28"/>
      <c r="G2861" s="28"/>
      <c r="H2861" s="28"/>
    </row>
    <row r="2862" spans="4:8" s="25" customFormat="1" ht="11.25" customHeight="1">
      <c r="D2862" s="28"/>
      <c r="E2862" s="28"/>
      <c r="F2862" s="28"/>
      <c r="G2862" s="28"/>
      <c r="H2862" s="28"/>
    </row>
    <row r="2863" spans="4:8" s="25" customFormat="1" ht="11.25" customHeight="1">
      <c r="D2863" s="28"/>
      <c r="E2863" s="28"/>
      <c r="F2863" s="28"/>
      <c r="G2863" s="28"/>
      <c r="H2863" s="28"/>
    </row>
    <row r="2864" spans="4:8" s="25" customFormat="1" ht="11.25" customHeight="1">
      <c r="D2864" s="28"/>
      <c r="E2864" s="28"/>
      <c r="F2864" s="28"/>
      <c r="G2864" s="28"/>
      <c r="H2864" s="28"/>
    </row>
    <row r="2865" spans="4:8" s="25" customFormat="1" ht="11.25" customHeight="1">
      <c r="D2865" s="28"/>
      <c r="E2865" s="28"/>
      <c r="F2865" s="28"/>
      <c r="G2865" s="28"/>
      <c r="H2865" s="28"/>
    </row>
    <row r="2866" spans="4:8" s="25" customFormat="1" ht="11.25" customHeight="1">
      <c r="D2866" s="28"/>
      <c r="E2866" s="28"/>
      <c r="F2866" s="28"/>
      <c r="G2866" s="28"/>
      <c r="H2866" s="28"/>
    </row>
    <row r="2867" spans="4:8" s="25" customFormat="1" ht="11.25" customHeight="1">
      <c r="D2867" s="28"/>
      <c r="E2867" s="28"/>
      <c r="F2867" s="28"/>
      <c r="G2867" s="28"/>
      <c r="H2867" s="28"/>
    </row>
    <row r="2868" spans="4:8" s="25" customFormat="1" ht="11.25" customHeight="1">
      <c r="D2868" s="28"/>
      <c r="E2868" s="28"/>
      <c r="F2868" s="28"/>
      <c r="G2868" s="28"/>
      <c r="H2868" s="28"/>
    </row>
    <row r="2869" spans="4:8" s="25" customFormat="1" ht="11.25" customHeight="1">
      <c r="D2869" s="28"/>
      <c r="E2869" s="28"/>
      <c r="F2869" s="28"/>
      <c r="G2869" s="28"/>
      <c r="H2869" s="28"/>
    </row>
    <row r="2870" spans="4:8" s="25" customFormat="1" ht="11.25" customHeight="1">
      <c r="D2870" s="28"/>
      <c r="E2870" s="28"/>
      <c r="F2870" s="28"/>
      <c r="G2870" s="28"/>
      <c r="H2870" s="28"/>
    </row>
    <row r="2871" spans="4:8" s="25" customFormat="1" ht="11.25" customHeight="1">
      <c r="D2871" s="28"/>
      <c r="E2871" s="28"/>
      <c r="F2871" s="28"/>
      <c r="G2871" s="28"/>
      <c r="H2871" s="28"/>
    </row>
    <row r="2872" spans="4:8" s="25" customFormat="1" ht="11.25" customHeight="1">
      <c r="D2872" s="28"/>
      <c r="E2872" s="28"/>
      <c r="F2872" s="28"/>
      <c r="G2872" s="28"/>
      <c r="H2872" s="28"/>
    </row>
    <row r="2873" spans="4:8" s="25" customFormat="1" ht="11.25" customHeight="1">
      <c r="D2873" s="28"/>
      <c r="E2873" s="28"/>
      <c r="F2873" s="28"/>
      <c r="G2873" s="28"/>
      <c r="H2873" s="28"/>
    </row>
    <row r="2874" spans="4:8" s="25" customFormat="1" ht="11.25" customHeight="1">
      <c r="D2874" s="28"/>
      <c r="E2874" s="28"/>
      <c r="F2874" s="28"/>
      <c r="G2874" s="28"/>
      <c r="H2874" s="28"/>
    </row>
    <row r="2875" spans="4:8" s="25" customFormat="1" ht="11.25" customHeight="1">
      <c r="D2875" s="28"/>
      <c r="E2875" s="28"/>
      <c r="F2875" s="28"/>
      <c r="G2875" s="28"/>
      <c r="H2875" s="28"/>
    </row>
    <row r="2876" spans="4:8" s="25" customFormat="1" ht="11.25" customHeight="1">
      <c r="D2876" s="28"/>
      <c r="E2876" s="28"/>
      <c r="F2876" s="28"/>
      <c r="G2876" s="28"/>
      <c r="H2876" s="28"/>
    </row>
    <row r="2877" spans="4:8" s="25" customFormat="1" ht="11.25" customHeight="1">
      <c r="D2877" s="28"/>
      <c r="E2877" s="28"/>
      <c r="F2877" s="28"/>
      <c r="G2877" s="28"/>
      <c r="H2877" s="28"/>
    </row>
    <row r="2878" spans="4:8" s="25" customFormat="1" ht="11.25" customHeight="1">
      <c r="D2878" s="28"/>
      <c r="E2878" s="28"/>
      <c r="F2878" s="28"/>
      <c r="G2878" s="28"/>
      <c r="H2878" s="28"/>
    </row>
    <row r="2879" spans="4:8" s="25" customFormat="1" ht="11.25" customHeight="1">
      <c r="D2879" s="28"/>
      <c r="E2879" s="28"/>
      <c r="F2879" s="28"/>
      <c r="G2879" s="28"/>
      <c r="H2879" s="28"/>
    </row>
    <row r="2880" spans="4:8" s="25" customFormat="1" ht="11.25" customHeight="1">
      <c r="D2880" s="28"/>
      <c r="E2880" s="28"/>
      <c r="F2880" s="28"/>
      <c r="G2880" s="28"/>
      <c r="H2880" s="28"/>
    </row>
    <row r="2881" spans="4:8" s="25" customFormat="1" ht="11.25" customHeight="1">
      <c r="D2881" s="28"/>
      <c r="E2881" s="28"/>
      <c r="F2881" s="28"/>
      <c r="G2881" s="28"/>
      <c r="H2881" s="28"/>
    </row>
    <row r="2882" spans="4:8" s="25" customFormat="1" ht="11.25" customHeight="1">
      <c r="D2882" s="28"/>
      <c r="E2882" s="28"/>
      <c r="F2882" s="28"/>
      <c r="G2882" s="28"/>
      <c r="H2882" s="28"/>
    </row>
    <row r="2883" spans="4:8" s="25" customFormat="1" ht="11.25" customHeight="1">
      <c r="D2883" s="28"/>
      <c r="E2883" s="28"/>
      <c r="F2883" s="28"/>
      <c r="G2883" s="28"/>
      <c r="H2883" s="28"/>
    </row>
    <row r="2884" spans="4:8" s="25" customFormat="1" ht="11.25" customHeight="1">
      <c r="D2884" s="28"/>
      <c r="E2884" s="28"/>
      <c r="F2884" s="28"/>
      <c r="G2884" s="28"/>
      <c r="H2884" s="28"/>
    </row>
    <row r="2885" spans="4:8" s="25" customFormat="1" ht="11.25" customHeight="1">
      <c r="D2885" s="28"/>
      <c r="E2885" s="28"/>
      <c r="F2885" s="28"/>
      <c r="G2885" s="28"/>
      <c r="H2885" s="28"/>
    </row>
    <row r="2886" spans="4:8" s="25" customFormat="1" ht="11.25" customHeight="1">
      <c r="D2886" s="28"/>
      <c r="E2886" s="28"/>
      <c r="F2886" s="28"/>
      <c r="G2886" s="28"/>
      <c r="H2886" s="28"/>
    </row>
    <row r="2887" spans="4:8" s="25" customFormat="1" ht="11.25" customHeight="1">
      <c r="D2887" s="28"/>
      <c r="E2887" s="28"/>
      <c r="F2887" s="28"/>
      <c r="G2887" s="28"/>
      <c r="H2887" s="28"/>
    </row>
    <row r="2888" spans="4:8" s="25" customFormat="1" ht="11.25" customHeight="1">
      <c r="D2888" s="28"/>
      <c r="E2888" s="28"/>
      <c r="F2888" s="28"/>
      <c r="G2888" s="28"/>
      <c r="H2888" s="28"/>
    </row>
    <row r="2889" spans="4:8" s="25" customFormat="1" ht="11.25" customHeight="1">
      <c r="D2889" s="28"/>
      <c r="E2889" s="28"/>
      <c r="F2889" s="28"/>
      <c r="G2889" s="28"/>
      <c r="H2889" s="28"/>
    </row>
    <row r="2890" spans="4:8" s="25" customFormat="1" ht="11.25" customHeight="1">
      <c r="D2890" s="28"/>
      <c r="E2890" s="28"/>
      <c r="F2890" s="28"/>
      <c r="G2890" s="28"/>
      <c r="H2890" s="28"/>
    </row>
    <row r="2891" spans="4:8" s="25" customFormat="1" ht="11.25" customHeight="1">
      <c r="D2891" s="28"/>
      <c r="E2891" s="28"/>
      <c r="F2891" s="28"/>
      <c r="G2891" s="28"/>
      <c r="H2891" s="28"/>
    </row>
    <row r="2892" spans="4:8" s="25" customFormat="1" ht="11.25" customHeight="1">
      <c r="D2892" s="28"/>
      <c r="E2892" s="28"/>
      <c r="F2892" s="28"/>
      <c r="G2892" s="28"/>
      <c r="H2892" s="28"/>
    </row>
    <row r="2893" spans="4:8" s="25" customFormat="1" ht="11.25" customHeight="1">
      <c r="D2893" s="28"/>
      <c r="E2893" s="28"/>
      <c r="F2893" s="28"/>
      <c r="G2893" s="28"/>
      <c r="H2893" s="28"/>
    </row>
    <row r="2894" spans="4:8" s="25" customFormat="1" ht="11.25" customHeight="1">
      <c r="D2894" s="28"/>
      <c r="E2894" s="28"/>
      <c r="F2894" s="28"/>
      <c r="G2894" s="28"/>
      <c r="H2894" s="28"/>
    </row>
    <row r="2895" spans="4:8" s="25" customFormat="1" ht="11.25" customHeight="1">
      <c r="D2895" s="28"/>
      <c r="E2895" s="28"/>
      <c r="F2895" s="28"/>
      <c r="G2895" s="28"/>
      <c r="H2895" s="28"/>
    </row>
    <row r="2896" spans="4:8" s="25" customFormat="1" ht="11.25" customHeight="1">
      <c r="D2896" s="28"/>
      <c r="E2896" s="28"/>
      <c r="F2896" s="28"/>
      <c r="G2896" s="28"/>
      <c r="H2896" s="28"/>
    </row>
    <row r="2897" spans="4:8" s="25" customFormat="1" ht="11.25" customHeight="1">
      <c r="D2897" s="28"/>
      <c r="E2897" s="28"/>
      <c r="F2897" s="28"/>
      <c r="G2897" s="28"/>
      <c r="H2897" s="28"/>
    </row>
    <row r="2898" spans="4:8" s="25" customFormat="1" ht="11.25" customHeight="1">
      <c r="D2898" s="28"/>
      <c r="E2898" s="28"/>
      <c r="F2898" s="28"/>
      <c r="G2898" s="28"/>
      <c r="H2898" s="28"/>
    </row>
    <row r="2899" spans="4:8" s="25" customFormat="1" ht="11.25" customHeight="1">
      <c r="D2899" s="28"/>
      <c r="E2899" s="28"/>
      <c r="F2899" s="28"/>
      <c r="G2899" s="28"/>
      <c r="H2899" s="28"/>
    </row>
    <row r="2900" spans="4:8" s="25" customFormat="1" ht="11.25" customHeight="1">
      <c r="D2900" s="28"/>
      <c r="E2900" s="28"/>
      <c r="F2900" s="28"/>
      <c r="G2900" s="28"/>
      <c r="H2900" s="28"/>
    </row>
    <row r="2901" spans="4:8" s="25" customFormat="1" ht="11.25" customHeight="1">
      <c r="D2901" s="28"/>
      <c r="E2901" s="28"/>
      <c r="F2901" s="28"/>
      <c r="G2901" s="28"/>
      <c r="H2901" s="28"/>
    </row>
    <row r="2902" spans="4:8" s="25" customFormat="1" ht="11.25" customHeight="1">
      <c r="D2902" s="28"/>
      <c r="E2902" s="28"/>
      <c r="F2902" s="28"/>
      <c r="G2902" s="28"/>
      <c r="H2902" s="28"/>
    </row>
    <row r="2903" spans="4:8" s="25" customFormat="1" ht="11.25" customHeight="1">
      <c r="D2903" s="28"/>
      <c r="E2903" s="28"/>
      <c r="F2903" s="28"/>
      <c r="G2903" s="28"/>
      <c r="H2903" s="28"/>
    </row>
    <row r="2904" spans="4:8" s="25" customFormat="1" ht="11.25" customHeight="1">
      <c r="D2904" s="28"/>
      <c r="E2904" s="28"/>
      <c r="F2904" s="28"/>
      <c r="G2904" s="28"/>
      <c r="H2904" s="28"/>
    </row>
    <row r="2905" spans="4:8" s="25" customFormat="1" ht="11.25" customHeight="1">
      <c r="D2905" s="28"/>
      <c r="E2905" s="28"/>
      <c r="F2905" s="28"/>
      <c r="G2905" s="28"/>
      <c r="H2905" s="28"/>
    </row>
    <row r="2906" spans="4:8" s="25" customFormat="1" ht="11.25" customHeight="1">
      <c r="D2906" s="28"/>
      <c r="E2906" s="28"/>
      <c r="F2906" s="28"/>
      <c r="G2906" s="28"/>
      <c r="H2906" s="28"/>
    </row>
    <row r="2907" spans="4:8" s="25" customFormat="1" ht="11.25" customHeight="1">
      <c r="D2907" s="28"/>
      <c r="E2907" s="28"/>
      <c r="F2907" s="28"/>
      <c r="G2907" s="28"/>
      <c r="H2907" s="28"/>
    </row>
    <row r="2908" spans="4:8" s="25" customFormat="1" ht="11.25" customHeight="1">
      <c r="D2908" s="28"/>
      <c r="E2908" s="28"/>
      <c r="F2908" s="28"/>
      <c r="G2908" s="28"/>
      <c r="H2908" s="28"/>
    </row>
    <row r="2909" spans="4:8" s="25" customFormat="1" ht="11.25" customHeight="1">
      <c r="D2909" s="28"/>
      <c r="E2909" s="28"/>
      <c r="F2909" s="28"/>
      <c r="G2909" s="28"/>
      <c r="H2909" s="28"/>
    </row>
    <row r="2910" spans="4:8" s="25" customFormat="1" ht="11.25" customHeight="1">
      <c r="D2910" s="28"/>
      <c r="E2910" s="28"/>
      <c r="F2910" s="28"/>
      <c r="G2910" s="28"/>
      <c r="H2910" s="28"/>
    </row>
    <row r="2911" spans="4:8" s="25" customFormat="1" ht="11.25" customHeight="1">
      <c r="D2911" s="28"/>
      <c r="E2911" s="28"/>
      <c r="F2911" s="28"/>
      <c r="G2911" s="28"/>
      <c r="H2911" s="28"/>
    </row>
    <row r="2912" spans="4:8" s="25" customFormat="1" ht="11.25" customHeight="1">
      <c r="D2912" s="28"/>
      <c r="E2912" s="28"/>
      <c r="F2912" s="28"/>
      <c r="G2912" s="28"/>
      <c r="H2912" s="28"/>
    </row>
    <row r="2913" spans="4:8" s="25" customFormat="1" ht="11.25" customHeight="1">
      <c r="D2913" s="28"/>
      <c r="E2913" s="28"/>
      <c r="F2913" s="28"/>
      <c r="G2913" s="28"/>
      <c r="H2913" s="28"/>
    </row>
    <row r="2914" spans="4:8" s="25" customFormat="1" ht="11.25" customHeight="1">
      <c r="D2914" s="28"/>
      <c r="E2914" s="28"/>
      <c r="F2914" s="28"/>
      <c r="G2914" s="28"/>
      <c r="H2914" s="28"/>
    </row>
    <row r="2915" spans="4:8" s="25" customFormat="1" ht="11.25" customHeight="1">
      <c r="D2915" s="28"/>
      <c r="E2915" s="28"/>
      <c r="F2915" s="28"/>
      <c r="G2915" s="28"/>
      <c r="H2915" s="28"/>
    </row>
    <row r="2916" spans="4:8" s="25" customFormat="1" ht="11.25" customHeight="1">
      <c r="D2916" s="28"/>
      <c r="E2916" s="28"/>
      <c r="F2916" s="28"/>
      <c r="G2916" s="28"/>
      <c r="H2916" s="28"/>
    </row>
    <row r="2917" spans="4:8" s="25" customFormat="1" ht="11.25" customHeight="1">
      <c r="D2917" s="28"/>
      <c r="E2917" s="28"/>
      <c r="F2917" s="28"/>
      <c r="G2917" s="28"/>
      <c r="H2917" s="28"/>
    </row>
    <row r="2918" spans="4:8" s="25" customFormat="1" ht="11.25" customHeight="1">
      <c r="D2918" s="28"/>
      <c r="E2918" s="28"/>
      <c r="F2918" s="28"/>
      <c r="G2918" s="28"/>
      <c r="H2918" s="28"/>
    </row>
    <row r="2919" spans="4:8" s="25" customFormat="1" ht="11.25" customHeight="1">
      <c r="D2919" s="28"/>
      <c r="E2919" s="28"/>
      <c r="F2919" s="28"/>
      <c r="G2919" s="28"/>
      <c r="H2919" s="28"/>
    </row>
    <row r="2920" spans="4:8" s="25" customFormat="1" ht="11.25" customHeight="1">
      <c r="D2920" s="28"/>
      <c r="E2920" s="28"/>
      <c r="F2920" s="28"/>
      <c r="G2920" s="28"/>
      <c r="H2920" s="28"/>
    </row>
    <row r="2921" spans="4:8" s="25" customFormat="1" ht="11.25" customHeight="1">
      <c r="D2921" s="28"/>
      <c r="E2921" s="28"/>
      <c r="F2921" s="28"/>
      <c r="G2921" s="28"/>
      <c r="H2921" s="28"/>
    </row>
    <row r="2922" spans="4:8" s="25" customFormat="1" ht="11.25" customHeight="1">
      <c r="D2922" s="28"/>
      <c r="E2922" s="28"/>
      <c r="F2922" s="28"/>
      <c r="G2922" s="28"/>
      <c r="H2922" s="28"/>
    </row>
    <row r="2923" spans="4:8" s="25" customFormat="1" ht="11.25" customHeight="1">
      <c r="D2923" s="28"/>
      <c r="E2923" s="28"/>
      <c r="F2923" s="28"/>
      <c r="G2923" s="28"/>
      <c r="H2923" s="28"/>
    </row>
    <row r="2924" spans="4:8" s="25" customFormat="1" ht="11.25" customHeight="1">
      <c r="D2924" s="28"/>
      <c r="E2924" s="28"/>
      <c r="F2924" s="28"/>
      <c r="G2924" s="28"/>
      <c r="H2924" s="28"/>
    </row>
    <row r="2925" spans="4:8" s="25" customFormat="1" ht="11.25" customHeight="1">
      <c r="D2925" s="28"/>
      <c r="E2925" s="28"/>
      <c r="F2925" s="28"/>
      <c r="G2925" s="28"/>
      <c r="H2925" s="28"/>
    </row>
    <row r="2926" spans="4:8" s="25" customFormat="1" ht="11.25" customHeight="1">
      <c r="D2926" s="28"/>
      <c r="E2926" s="28"/>
      <c r="F2926" s="28"/>
      <c r="G2926" s="28"/>
      <c r="H2926" s="28"/>
    </row>
    <row r="2927" spans="4:8" s="25" customFormat="1" ht="11.25" customHeight="1">
      <c r="D2927" s="28"/>
      <c r="E2927" s="28"/>
      <c r="F2927" s="28"/>
      <c r="G2927" s="28"/>
      <c r="H2927" s="28"/>
    </row>
    <row r="2928" spans="4:8" s="25" customFormat="1" ht="11.25" customHeight="1">
      <c r="D2928" s="28"/>
      <c r="E2928" s="28"/>
      <c r="F2928" s="28"/>
      <c r="G2928" s="28"/>
      <c r="H2928" s="28"/>
    </row>
    <row r="2929" spans="4:8" s="25" customFormat="1" ht="11.25" customHeight="1">
      <c r="D2929" s="28"/>
      <c r="E2929" s="28"/>
      <c r="F2929" s="28"/>
      <c r="G2929" s="28"/>
      <c r="H2929" s="28"/>
    </row>
    <row r="2930" spans="4:8" s="25" customFormat="1" ht="11.25" customHeight="1">
      <c r="D2930" s="28"/>
      <c r="E2930" s="28"/>
      <c r="F2930" s="28"/>
      <c r="G2930" s="28"/>
      <c r="H2930" s="28"/>
    </row>
    <row r="2931" spans="4:8" s="25" customFormat="1" ht="11.25" customHeight="1">
      <c r="D2931" s="28"/>
      <c r="E2931" s="28"/>
      <c r="F2931" s="28"/>
      <c r="G2931" s="28"/>
      <c r="H2931" s="28"/>
    </row>
    <row r="2932" spans="4:8" s="25" customFormat="1" ht="11.25" customHeight="1">
      <c r="D2932" s="28"/>
      <c r="E2932" s="28"/>
      <c r="F2932" s="28"/>
      <c r="G2932" s="28"/>
      <c r="H2932" s="28"/>
    </row>
    <row r="2933" spans="4:8" s="25" customFormat="1" ht="11.25" customHeight="1">
      <c r="D2933" s="28"/>
      <c r="E2933" s="28"/>
      <c r="F2933" s="28"/>
      <c r="G2933" s="28"/>
      <c r="H2933" s="28"/>
    </row>
    <row r="2934" spans="4:8" s="25" customFormat="1" ht="11.25" customHeight="1">
      <c r="D2934" s="28"/>
      <c r="E2934" s="28"/>
      <c r="F2934" s="28"/>
      <c r="G2934" s="28"/>
      <c r="H2934" s="28"/>
    </row>
    <row r="2935" spans="4:8" s="25" customFormat="1" ht="11.25" customHeight="1">
      <c r="D2935" s="28"/>
      <c r="E2935" s="28"/>
      <c r="F2935" s="28"/>
      <c r="G2935" s="28"/>
      <c r="H2935" s="28"/>
    </row>
    <row r="2936" spans="4:8" s="25" customFormat="1" ht="11.25" customHeight="1">
      <c r="D2936" s="28"/>
      <c r="E2936" s="28"/>
      <c r="F2936" s="28"/>
      <c r="G2936" s="28"/>
      <c r="H2936" s="28"/>
    </row>
    <row r="2937" spans="4:8" s="25" customFormat="1" ht="11.25" customHeight="1">
      <c r="D2937" s="28"/>
      <c r="E2937" s="28"/>
      <c r="F2937" s="28"/>
      <c r="G2937" s="28"/>
      <c r="H2937" s="28"/>
    </row>
    <row r="2938" spans="4:8" s="25" customFormat="1" ht="11.25" customHeight="1">
      <c r="D2938" s="28"/>
      <c r="E2938" s="28"/>
      <c r="F2938" s="28"/>
      <c r="G2938" s="28"/>
      <c r="H2938" s="28"/>
    </row>
    <row r="2939" spans="4:8" s="25" customFormat="1" ht="11.25" customHeight="1">
      <c r="D2939" s="28"/>
      <c r="E2939" s="28"/>
      <c r="F2939" s="28"/>
      <c r="G2939" s="28"/>
      <c r="H2939" s="28"/>
    </row>
    <row r="2940" spans="4:8" s="25" customFormat="1" ht="11.25" customHeight="1">
      <c r="D2940" s="28"/>
      <c r="E2940" s="28"/>
      <c r="F2940" s="28"/>
      <c r="G2940" s="28"/>
      <c r="H2940" s="28"/>
    </row>
    <row r="2941" spans="4:8" s="25" customFormat="1" ht="11.25" customHeight="1">
      <c r="D2941" s="28"/>
      <c r="E2941" s="28"/>
      <c r="F2941" s="28"/>
      <c r="G2941" s="28"/>
      <c r="H2941" s="28"/>
    </row>
    <row r="2942" spans="4:8" s="25" customFormat="1" ht="11.25" customHeight="1">
      <c r="D2942" s="28"/>
      <c r="E2942" s="28"/>
      <c r="F2942" s="28"/>
      <c r="G2942" s="28"/>
      <c r="H2942" s="28"/>
    </row>
    <row r="2943" spans="4:8" s="25" customFormat="1" ht="11.25" customHeight="1">
      <c r="D2943" s="28"/>
      <c r="E2943" s="28"/>
      <c r="F2943" s="28"/>
      <c r="G2943" s="28"/>
      <c r="H2943" s="28"/>
    </row>
    <row r="2944" spans="4:8" s="25" customFormat="1" ht="11.25" customHeight="1">
      <c r="D2944" s="28"/>
      <c r="E2944" s="28"/>
      <c r="F2944" s="28"/>
      <c r="G2944" s="28"/>
      <c r="H2944" s="28"/>
    </row>
    <row r="2945" spans="4:8" s="25" customFormat="1" ht="11.25" customHeight="1">
      <c r="D2945" s="28"/>
      <c r="E2945" s="28"/>
      <c r="F2945" s="28"/>
      <c r="G2945" s="28"/>
      <c r="H2945" s="28"/>
    </row>
    <row r="2946" spans="4:8" s="25" customFormat="1" ht="11.25" customHeight="1">
      <c r="D2946" s="28"/>
      <c r="E2946" s="28"/>
      <c r="F2946" s="28"/>
      <c r="G2946" s="28"/>
      <c r="H2946" s="28"/>
    </row>
    <row r="2947" spans="4:8" s="25" customFormat="1" ht="11.25" customHeight="1">
      <c r="D2947" s="28"/>
      <c r="E2947" s="28"/>
      <c r="F2947" s="28"/>
      <c r="G2947" s="28"/>
      <c r="H2947" s="28"/>
    </row>
    <row r="2948" spans="4:8" s="25" customFormat="1" ht="11.25" customHeight="1">
      <c r="D2948" s="28"/>
      <c r="E2948" s="28"/>
      <c r="F2948" s="28"/>
      <c r="G2948" s="28"/>
      <c r="H2948" s="28"/>
    </row>
    <row r="2949" spans="4:8" s="25" customFormat="1" ht="11.25" customHeight="1">
      <c r="D2949" s="28"/>
      <c r="E2949" s="28"/>
      <c r="F2949" s="28"/>
      <c r="G2949" s="28"/>
      <c r="H2949" s="28"/>
    </row>
    <row r="2950" spans="4:8" s="25" customFormat="1" ht="11.25" customHeight="1">
      <c r="D2950" s="28"/>
      <c r="E2950" s="28"/>
      <c r="F2950" s="28"/>
      <c r="G2950" s="28"/>
      <c r="H2950" s="28"/>
    </row>
    <row r="2951" spans="4:8" s="25" customFormat="1" ht="11.25" customHeight="1">
      <c r="D2951" s="28"/>
      <c r="E2951" s="28"/>
      <c r="F2951" s="28"/>
      <c r="G2951" s="28"/>
      <c r="H2951" s="28"/>
    </row>
    <row r="2952" spans="4:8" s="25" customFormat="1" ht="11.25" customHeight="1">
      <c r="D2952" s="28"/>
      <c r="E2952" s="28"/>
      <c r="F2952" s="28"/>
      <c r="G2952" s="28"/>
      <c r="H2952" s="28"/>
    </row>
    <row r="2953" spans="4:8" s="25" customFormat="1" ht="11.25" customHeight="1">
      <c r="D2953" s="28"/>
      <c r="E2953" s="28"/>
      <c r="F2953" s="28"/>
      <c r="G2953" s="28"/>
      <c r="H2953" s="28"/>
    </row>
    <row r="2954" spans="4:8" s="25" customFormat="1" ht="11.25" customHeight="1">
      <c r="D2954" s="28"/>
      <c r="E2954" s="28"/>
      <c r="F2954" s="28"/>
      <c r="G2954" s="28"/>
      <c r="H2954" s="28"/>
    </row>
    <row r="2955" spans="4:8" s="25" customFormat="1" ht="11.25" customHeight="1">
      <c r="D2955" s="28"/>
      <c r="E2955" s="28"/>
      <c r="F2955" s="28"/>
      <c r="G2955" s="28"/>
      <c r="H2955" s="28"/>
    </row>
    <row r="2956" spans="4:8" s="25" customFormat="1" ht="11.25" customHeight="1">
      <c r="D2956" s="28"/>
      <c r="E2956" s="28"/>
      <c r="F2956" s="28"/>
      <c r="G2956" s="28"/>
      <c r="H2956" s="28"/>
    </row>
    <row r="2957" spans="4:8" s="25" customFormat="1" ht="11.25" customHeight="1">
      <c r="D2957" s="28"/>
      <c r="E2957" s="28"/>
      <c r="F2957" s="28"/>
      <c r="G2957" s="28"/>
      <c r="H2957" s="28"/>
    </row>
    <row r="2958" spans="4:8" s="25" customFormat="1" ht="11.25" customHeight="1">
      <c r="D2958" s="28"/>
      <c r="E2958" s="28"/>
      <c r="F2958" s="28"/>
      <c r="G2958" s="28"/>
      <c r="H2958" s="28"/>
    </row>
    <row r="2959" spans="4:8" s="25" customFormat="1" ht="11.25" customHeight="1">
      <c r="D2959" s="28"/>
      <c r="E2959" s="28"/>
      <c r="F2959" s="28"/>
      <c r="G2959" s="28"/>
      <c r="H2959" s="28"/>
    </row>
    <row r="2960" spans="4:8" s="25" customFormat="1" ht="11.25" customHeight="1">
      <c r="D2960" s="28"/>
      <c r="E2960" s="28"/>
      <c r="F2960" s="28"/>
      <c r="G2960" s="28"/>
      <c r="H2960" s="28"/>
    </row>
    <row r="2961" spans="4:8" s="25" customFormat="1" ht="11.25" customHeight="1">
      <c r="D2961" s="28"/>
      <c r="E2961" s="28"/>
      <c r="F2961" s="28"/>
      <c r="G2961" s="28"/>
      <c r="H2961" s="28"/>
    </row>
    <row r="2962" spans="4:8" s="25" customFormat="1" ht="11.25" customHeight="1">
      <c r="D2962" s="28"/>
      <c r="E2962" s="28"/>
      <c r="F2962" s="28"/>
      <c r="G2962" s="28"/>
      <c r="H2962" s="28"/>
    </row>
    <row r="2963" spans="4:8" s="25" customFormat="1" ht="11.25" customHeight="1">
      <c r="D2963" s="28"/>
      <c r="E2963" s="28"/>
      <c r="F2963" s="28"/>
      <c r="G2963" s="28"/>
      <c r="H2963" s="28"/>
    </row>
    <row r="2964" spans="4:8" s="25" customFormat="1" ht="11.25" customHeight="1">
      <c r="D2964" s="28"/>
      <c r="E2964" s="28"/>
      <c r="F2964" s="28"/>
      <c r="G2964" s="28"/>
      <c r="H2964" s="28"/>
    </row>
    <row r="2965" spans="4:8" s="25" customFormat="1" ht="11.25" customHeight="1">
      <c r="D2965" s="28"/>
      <c r="E2965" s="28"/>
      <c r="F2965" s="28"/>
      <c r="G2965" s="28"/>
      <c r="H2965" s="28"/>
    </row>
    <row r="2966" spans="4:8" s="25" customFormat="1" ht="11.25" customHeight="1">
      <c r="D2966" s="28"/>
      <c r="E2966" s="28"/>
      <c r="F2966" s="28"/>
      <c r="G2966" s="28"/>
      <c r="H2966" s="28"/>
    </row>
    <row r="2967" spans="4:8" s="25" customFormat="1" ht="11.25" customHeight="1">
      <c r="D2967" s="28"/>
      <c r="E2967" s="28"/>
      <c r="F2967" s="28"/>
      <c r="G2967" s="28"/>
      <c r="H2967" s="28"/>
    </row>
    <row r="2968" spans="4:8" s="25" customFormat="1" ht="11.25" customHeight="1">
      <c r="D2968" s="28"/>
      <c r="E2968" s="28"/>
      <c r="F2968" s="28"/>
      <c r="G2968" s="28"/>
      <c r="H2968" s="28"/>
    </row>
    <row r="2969" spans="4:8" s="25" customFormat="1" ht="11.25" customHeight="1">
      <c r="D2969" s="28"/>
      <c r="E2969" s="28"/>
      <c r="F2969" s="28"/>
      <c r="G2969" s="28"/>
      <c r="H2969" s="28"/>
    </row>
    <row r="2970" spans="4:8" s="25" customFormat="1" ht="11.25" customHeight="1">
      <c r="D2970" s="28"/>
      <c r="E2970" s="28"/>
      <c r="F2970" s="28"/>
      <c r="G2970" s="28"/>
      <c r="H2970" s="28"/>
    </row>
    <row r="2971" spans="4:8" s="25" customFormat="1" ht="11.25" customHeight="1">
      <c r="D2971" s="28"/>
      <c r="E2971" s="28"/>
      <c r="F2971" s="28"/>
      <c r="G2971" s="28"/>
      <c r="H2971" s="28"/>
    </row>
    <row r="2972" spans="4:8" s="25" customFormat="1" ht="11.25" customHeight="1">
      <c r="D2972" s="28"/>
      <c r="E2972" s="28"/>
      <c r="F2972" s="28"/>
      <c r="G2972" s="28"/>
      <c r="H2972" s="28"/>
    </row>
    <row r="2973" spans="4:8" s="25" customFormat="1" ht="11.25" customHeight="1">
      <c r="D2973" s="28"/>
      <c r="E2973" s="28"/>
      <c r="F2973" s="28"/>
      <c r="G2973" s="28"/>
      <c r="H2973" s="28"/>
    </row>
    <row r="2974" spans="4:8" s="25" customFormat="1" ht="11.25" customHeight="1">
      <c r="D2974" s="28"/>
      <c r="E2974" s="28"/>
      <c r="F2974" s="28"/>
      <c r="G2974" s="28"/>
      <c r="H2974" s="28"/>
    </row>
    <row r="2975" spans="4:8" s="25" customFormat="1" ht="11.25" customHeight="1">
      <c r="D2975" s="28"/>
      <c r="E2975" s="28"/>
      <c r="F2975" s="28"/>
      <c r="G2975" s="28"/>
      <c r="H2975" s="28"/>
    </row>
    <row r="2976" spans="4:8" s="25" customFormat="1" ht="11.25" customHeight="1">
      <c r="D2976" s="28"/>
      <c r="E2976" s="28"/>
      <c r="F2976" s="28"/>
      <c r="G2976" s="28"/>
      <c r="H2976" s="28"/>
    </row>
    <row r="2977" spans="4:8" s="25" customFormat="1" ht="11.25" customHeight="1">
      <c r="D2977" s="28"/>
      <c r="E2977" s="28"/>
      <c r="F2977" s="28"/>
      <c r="G2977" s="28"/>
      <c r="H2977" s="28"/>
    </row>
    <row r="2978" spans="4:8" s="25" customFormat="1" ht="11.25" customHeight="1">
      <c r="D2978" s="28"/>
      <c r="E2978" s="28"/>
      <c r="F2978" s="28"/>
      <c r="G2978" s="28"/>
      <c r="H2978" s="28"/>
    </row>
    <row r="2979" spans="4:8" s="25" customFormat="1" ht="11.25" customHeight="1">
      <c r="D2979" s="28"/>
      <c r="E2979" s="28"/>
      <c r="F2979" s="28"/>
      <c r="G2979" s="28"/>
      <c r="H2979" s="28"/>
    </row>
    <row r="2980" spans="4:8" s="25" customFormat="1" ht="11.25" customHeight="1">
      <c r="D2980" s="28"/>
      <c r="E2980" s="28"/>
      <c r="F2980" s="28"/>
      <c r="G2980" s="28"/>
      <c r="H2980" s="28"/>
    </row>
    <row r="2981" spans="4:8" s="25" customFormat="1" ht="11.25" customHeight="1">
      <c r="D2981" s="28"/>
      <c r="E2981" s="28"/>
      <c r="F2981" s="28"/>
      <c r="G2981" s="28"/>
      <c r="H2981" s="28"/>
    </row>
    <row r="2982" spans="4:8" s="25" customFormat="1" ht="11.25" customHeight="1">
      <c r="D2982" s="28"/>
      <c r="E2982" s="28"/>
      <c r="F2982" s="28"/>
      <c r="G2982" s="28"/>
      <c r="H2982" s="28"/>
    </row>
    <row r="2983" spans="4:8" s="25" customFormat="1" ht="11.25" customHeight="1">
      <c r="D2983" s="28"/>
      <c r="E2983" s="28"/>
      <c r="F2983" s="28"/>
      <c r="G2983" s="28"/>
      <c r="H2983" s="28"/>
    </row>
    <row r="2984" spans="4:8" s="25" customFormat="1" ht="11.25" customHeight="1">
      <c r="D2984" s="28"/>
      <c r="E2984" s="28"/>
      <c r="F2984" s="28"/>
      <c r="G2984" s="28"/>
      <c r="H2984" s="28"/>
    </row>
    <row r="2985" spans="4:8" s="25" customFormat="1" ht="11.25" customHeight="1">
      <c r="D2985" s="28"/>
      <c r="E2985" s="28"/>
      <c r="F2985" s="28"/>
      <c r="G2985" s="28"/>
      <c r="H2985" s="28"/>
    </row>
    <row r="2986" spans="4:8" s="25" customFormat="1" ht="11.25" customHeight="1">
      <c r="D2986" s="28"/>
      <c r="E2986" s="28"/>
      <c r="F2986" s="28"/>
      <c r="G2986" s="28"/>
      <c r="H2986" s="28"/>
    </row>
    <row r="2987" spans="4:8" s="25" customFormat="1" ht="11.25" customHeight="1">
      <c r="D2987" s="28"/>
      <c r="E2987" s="28"/>
      <c r="F2987" s="28"/>
      <c r="G2987" s="28"/>
      <c r="H2987" s="28"/>
    </row>
    <row r="2988" spans="4:8" s="25" customFormat="1" ht="11.25" customHeight="1">
      <c r="D2988" s="28"/>
      <c r="E2988" s="28"/>
      <c r="F2988" s="28"/>
      <c r="G2988" s="28"/>
      <c r="H2988" s="28"/>
    </row>
    <row r="2989" spans="4:8" s="25" customFormat="1" ht="11.25" customHeight="1">
      <c r="D2989" s="28"/>
      <c r="E2989" s="28"/>
      <c r="F2989" s="28"/>
      <c r="G2989" s="28"/>
      <c r="H2989" s="28"/>
    </row>
    <row r="2990" spans="4:8" s="25" customFormat="1" ht="11.25" customHeight="1">
      <c r="D2990" s="28"/>
      <c r="E2990" s="28"/>
      <c r="F2990" s="28"/>
      <c r="G2990" s="28"/>
      <c r="H2990" s="28"/>
    </row>
    <row r="2991" spans="4:8" s="25" customFormat="1" ht="11.25" customHeight="1">
      <c r="D2991" s="28"/>
      <c r="E2991" s="28"/>
      <c r="F2991" s="28"/>
      <c r="G2991" s="28"/>
      <c r="H2991" s="28"/>
    </row>
    <row r="2992" spans="4:8" s="25" customFormat="1" ht="11.25" customHeight="1">
      <c r="D2992" s="28"/>
      <c r="E2992" s="28"/>
      <c r="F2992" s="28"/>
      <c r="G2992" s="28"/>
      <c r="H2992" s="28"/>
    </row>
    <row r="2993" spans="4:8" s="25" customFormat="1" ht="11.25" customHeight="1">
      <c r="D2993" s="28"/>
      <c r="E2993" s="28"/>
      <c r="F2993" s="28"/>
      <c r="G2993" s="28"/>
      <c r="H2993" s="28"/>
    </row>
    <row r="2994" spans="4:8" s="25" customFormat="1" ht="11.25" customHeight="1">
      <c r="D2994" s="28"/>
      <c r="E2994" s="28"/>
      <c r="F2994" s="28"/>
      <c r="G2994" s="28"/>
      <c r="H2994" s="28"/>
    </row>
    <row r="2995" spans="4:8" s="25" customFormat="1" ht="11.25" customHeight="1">
      <c r="D2995" s="28"/>
      <c r="E2995" s="28"/>
      <c r="F2995" s="28"/>
      <c r="G2995" s="28"/>
      <c r="H2995" s="28"/>
    </row>
    <row r="2996" spans="4:8" s="25" customFormat="1" ht="11.25" customHeight="1">
      <c r="D2996" s="28"/>
      <c r="E2996" s="28"/>
      <c r="F2996" s="28"/>
      <c r="G2996" s="28"/>
      <c r="H2996" s="28"/>
    </row>
    <row r="2997" spans="4:8" s="25" customFormat="1" ht="11.25" customHeight="1">
      <c r="D2997" s="28"/>
      <c r="E2997" s="28"/>
      <c r="F2997" s="28"/>
      <c r="G2997" s="28"/>
      <c r="H2997" s="28"/>
    </row>
    <row r="2998" spans="4:8" s="25" customFormat="1" ht="11.25" customHeight="1">
      <c r="D2998" s="28"/>
      <c r="E2998" s="28"/>
      <c r="F2998" s="28"/>
      <c r="G2998" s="28"/>
      <c r="H2998" s="28"/>
    </row>
    <row r="2999" spans="4:8" s="25" customFormat="1" ht="11.25" customHeight="1">
      <c r="D2999" s="28"/>
      <c r="E2999" s="28"/>
      <c r="F2999" s="28"/>
      <c r="G2999" s="28"/>
      <c r="H2999" s="28"/>
    </row>
    <row r="3000" spans="4:8" s="25" customFormat="1" ht="11.25" customHeight="1">
      <c r="D3000" s="28"/>
      <c r="E3000" s="28"/>
      <c r="F3000" s="28"/>
      <c r="G3000" s="28"/>
      <c r="H3000" s="28"/>
    </row>
    <row r="3001" spans="4:8" s="25" customFormat="1" ht="11.25" customHeight="1">
      <c r="D3001" s="28"/>
      <c r="E3001" s="28"/>
      <c r="F3001" s="28"/>
      <c r="G3001" s="28"/>
      <c r="H3001" s="28"/>
    </row>
    <row r="3002" spans="4:8" s="25" customFormat="1" ht="11.25" customHeight="1">
      <c r="D3002" s="28"/>
      <c r="E3002" s="28"/>
      <c r="F3002" s="28"/>
      <c r="G3002" s="28"/>
      <c r="H3002" s="28"/>
    </row>
    <row r="3003" spans="4:8" s="25" customFormat="1" ht="11.25" customHeight="1">
      <c r="D3003" s="28"/>
      <c r="E3003" s="28"/>
      <c r="F3003" s="28"/>
      <c r="G3003" s="28"/>
      <c r="H3003" s="28"/>
    </row>
    <row r="3004" spans="4:8" s="25" customFormat="1" ht="11.25" customHeight="1">
      <c r="D3004" s="28"/>
      <c r="E3004" s="28"/>
      <c r="F3004" s="28"/>
      <c r="G3004" s="28"/>
      <c r="H3004" s="28"/>
    </row>
    <row r="3005" spans="4:8" s="25" customFormat="1" ht="11.25" customHeight="1">
      <c r="D3005" s="28"/>
      <c r="E3005" s="28"/>
      <c r="F3005" s="28"/>
      <c r="G3005" s="28"/>
      <c r="H3005" s="28"/>
    </row>
    <row r="3006" spans="4:8" s="25" customFormat="1" ht="11.25" customHeight="1">
      <c r="D3006" s="28"/>
      <c r="E3006" s="28"/>
      <c r="F3006" s="28"/>
      <c r="G3006" s="28"/>
      <c r="H3006" s="28"/>
    </row>
    <row r="3007" spans="4:8" s="25" customFormat="1" ht="11.25" customHeight="1">
      <c r="D3007" s="28"/>
      <c r="E3007" s="28"/>
      <c r="F3007" s="28"/>
      <c r="G3007" s="28"/>
      <c r="H3007" s="28"/>
    </row>
    <row r="3008" spans="4:8" s="25" customFormat="1" ht="11.25" customHeight="1">
      <c r="D3008" s="28"/>
      <c r="E3008" s="28"/>
      <c r="F3008" s="28"/>
      <c r="G3008" s="28"/>
      <c r="H3008" s="28"/>
    </row>
    <row r="3009" spans="4:8" s="25" customFormat="1" ht="11.25" customHeight="1">
      <c r="D3009" s="28"/>
      <c r="E3009" s="28"/>
      <c r="F3009" s="28"/>
      <c r="G3009" s="28"/>
      <c r="H3009" s="28"/>
    </row>
    <row r="3010" spans="4:8" s="25" customFormat="1" ht="11.25" customHeight="1">
      <c r="D3010" s="28"/>
      <c r="E3010" s="28"/>
      <c r="F3010" s="28"/>
      <c r="G3010" s="28"/>
      <c r="H3010" s="28"/>
    </row>
    <row r="3011" spans="4:8" s="25" customFormat="1" ht="11.25" customHeight="1">
      <c r="D3011" s="28"/>
      <c r="E3011" s="28"/>
      <c r="F3011" s="28"/>
      <c r="G3011" s="28"/>
      <c r="H3011" s="28"/>
    </row>
    <row r="3012" spans="4:8" s="25" customFormat="1" ht="11.25" customHeight="1">
      <c r="D3012" s="28"/>
      <c r="E3012" s="28"/>
      <c r="F3012" s="28"/>
      <c r="G3012" s="28"/>
      <c r="H3012" s="28"/>
    </row>
    <row r="3013" spans="4:8" s="25" customFormat="1" ht="11.25" customHeight="1">
      <c r="D3013" s="28"/>
      <c r="E3013" s="28"/>
      <c r="F3013" s="28"/>
      <c r="G3013" s="28"/>
      <c r="H3013" s="28"/>
    </row>
    <row r="3014" spans="4:8" s="25" customFormat="1" ht="11.25" customHeight="1">
      <c r="D3014" s="28"/>
      <c r="E3014" s="28"/>
      <c r="F3014" s="28"/>
      <c r="G3014" s="28"/>
      <c r="H3014" s="28"/>
    </row>
    <row r="3015" spans="4:8" s="25" customFormat="1" ht="11.25" customHeight="1">
      <c r="D3015" s="28"/>
      <c r="E3015" s="28"/>
      <c r="F3015" s="28"/>
      <c r="G3015" s="28"/>
      <c r="H3015" s="28"/>
    </row>
    <row r="3016" spans="4:8" s="25" customFormat="1" ht="11.25" customHeight="1">
      <c r="D3016" s="28"/>
      <c r="E3016" s="28"/>
      <c r="F3016" s="28"/>
      <c r="G3016" s="28"/>
      <c r="H3016" s="28"/>
    </row>
    <row r="3017" spans="4:8" s="25" customFormat="1" ht="11.25" customHeight="1">
      <c r="D3017" s="28"/>
      <c r="E3017" s="28"/>
      <c r="F3017" s="28"/>
      <c r="G3017" s="28"/>
      <c r="H3017" s="28"/>
    </row>
    <row r="3018" spans="4:8" s="25" customFormat="1" ht="11.25" customHeight="1">
      <c r="D3018" s="28"/>
      <c r="E3018" s="28"/>
      <c r="F3018" s="28"/>
      <c r="G3018" s="28"/>
      <c r="H3018" s="28"/>
    </row>
    <row r="3019" spans="4:8" s="25" customFormat="1" ht="11.25" customHeight="1">
      <c r="D3019" s="28"/>
      <c r="E3019" s="28"/>
      <c r="F3019" s="28"/>
      <c r="G3019" s="28"/>
      <c r="H3019" s="28"/>
    </row>
    <row r="3020" spans="4:8" s="25" customFormat="1" ht="11.25" customHeight="1">
      <c r="D3020" s="28"/>
      <c r="E3020" s="28"/>
      <c r="F3020" s="28"/>
      <c r="G3020" s="28"/>
      <c r="H3020" s="28"/>
    </row>
    <row r="3021" spans="4:8" s="25" customFormat="1" ht="11.25" customHeight="1">
      <c r="D3021" s="28"/>
      <c r="E3021" s="28"/>
      <c r="F3021" s="28"/>
      <c r="G3021" s="28"/>
      <c r="H3021" s="28"/>
    </row>
    <row r="3022" spans="4:8" s="25" customFormat="1" ht="11.25" customHeight="1">
      <c r="D3022" s="28"/>
      <c r="E3022" s="28"/>
      <c r="F3022" s="28"/>
      <c r="G3022" s="28"/>
      <c r="H3022" s="28"/>
    </row>
    <row r="3023" spans="4:8" s="25" customFormat="1" ht="11.25" customHeight="1">
      <c r="D3023" s="28"/>
      <c r="E3023" s="28"/>
      <c r="F3023" s="28"/>
      <c r="G3023" s="28"/>
      <c r="H3023" s="28"/>
    </row>
    <row r="3024" spans="4:8" s="25" customFormat="1" ht="11.25" customHeight="1">
      <c r="D3024" s="28"/>
      <c r="E3024" s="28"/>
      <c r="F3024" s="28"/>
      <c r="G3024" s="28"/>
      <c r="H3024" s="28"/>
    </row>
    <row r="3025" spans="4:8" s="25" customFormat="1" ht="11.25" customHeight="1">
      <c r="D3025" s="28"/>
      <c r="E3025" s="28"/>
      <c r="F3025" s="28"/>
      <c r="G3025" s="28"/>
      <c r="H3025" s="28"/>
    </row>
    <row r="3026" spans="4:8" s="25" customFormat="1" ht="11.25" customHeight="1">
      <c r="D3026" s="28"/>
      <c r="E3026" s="28"/>
      <c r="F3026" s="28"/>
      <c r="G3026" s="28"/>
      <c r="H3026" s="28"/>
    </row>
    <row r="3027" spans="4:8" s="25" customFormat="1" ht="11.25" customHeight="1">
      <c r="D3027" s="28"/>
      <c r="E3027" s="28"/>
      <c r="F3027" s="28"/>
      <c r="G3027" s="28"/>
      <c r="H3027" s="28"/>
    </row>
    <row r="3028" spans="4:8" s="25" customFormat="1" ht="11.25" customHeight="1">
      <c r="D3028" s="28"/>
      <c r="E3028" s="28"/>
      <c r="F3028" s="28"/>
      <c r="G3028" s="28"/>
      <c r="H3028" s="28"/>
    </row>
    <row r="3029" spans="4:8" s="25" customFormat="1" ht="11.25" customHeight="1">
      <c r="D3029" s="28"/>
      <c r="E3029" s="28"/>
      <c r="F3029" s="28"/>
      <c r="G3029" s="28"/>
      <c r="H3029" s="28"/>
    </row>
    <row r="3030" spans="4:8" s="25" customFormat="1" ht="11.25" customHeight="1">
      <c r="D3030" s="28"/>
      <c r="E3030" s="28"/>
      <c r="F3030" s="28"/>
      <c r="G3030" s="28"/>
      <c r="H3030" s="28"/>
    </row>
    <row r="3031" spans="4:8" s="25" customFormat="1" ht="11.25" customHeight="1">
      <c r="D3031" s="28"/>
      <c r="E3031" s="28"/>
      <c r="F3031" s="28"/>
      <c r="G3031" s="28"/>
      <c r="H3031" s="28"/>
    </row>
    <row r="3032" spans="4:8" s="25" customFormat="1" ht="11.25" customHeight="1">
      <c r="D3032" s="28"/>
      <c r="E3032" s="28"/>
      <c r="F3032" s="28"/>
      <c r="G3032" s="28"/>
      <c r="H3032" s="28"/>
    </row>
    <row r="3033" spans="4:8" s="25" customFormat="1" ht="11.25" customHeight="1">
      <c r="D3033" s="28"/>
      <c r="E3033" s="28"/>
      <c r="F3033" s="28"/>
      <c r="G3033" s="28"/>
      <c r="H3033" s="28"/>
    </row>
    <row r="3034" spans="4:8" s="25" customFormat="1" ht="11.25" customHeight="1">
      <c r="D3034" s="28"/>
      <c r="E3034" s="28"/>
      <c r="F3034" s="28"/>
      <c r="G3034" s="28"/>
      <c r="H3034" s="28"/>
    </row>
    <row r="3035" spans="4:8" s="25" customFormat="1" ht="11.25" customHeight="1">
      <c r="D3035" s="28"/>
      <c r="E3035" s="28"/>
      <c r="F3035" s="28"/>
      <c r="G3035" s="28"/>
      <c r="H3035" s="28"/>
    </row>
    <row r="3036" spans="4:8" s="25" customFormat="1" ht="11.25" customHeight="1">
      <c r="D3036" s="28"/>
      <c r="E3036" s="28"/>
      <c r="F3036" s="28"/>
      <c r="G3036" s="28"/>
      <c r="H3036" s="28"/>
    </row>
    <row r="3037" spans="4:8" s="25" customFormat="1" ht="11.25" customHeight="1">
      <c r="D3037" s="28"/>
      <c r="E3037" s="28"/>
      <c r="F3037" s="28"/>
      <c r="G3037" s="28"/>
      <c r="H3037" s="28"/>
    </row>
    <row r="3038" spans="4:8" s="25" customFormat="1" ht="11.25" customHeight="1">
      <c r="D3038" s="28"/>
      <c r="E3038" s="28"/>
      <c r="F3038" s="28"/>
      <c r="G3038" s="28"/>
      <c r="H3038" s="28"/>
    </row>
    <row r="3039" spans="4:8" s="25" customFormat="1" ht="11.25" customHeight="1">
      <c r="D3039" s="28"/>
      <c r="E3039" s="28"/>
      <c r="F3039" s="28"/>
      <c r="G3039" s="28"/>
      <c r="H3039" s="28"/>
    </row>
    <row r="3040" spans="4:8" s="25" customFormat="1" ht="11.25" customHeight="1">
      <c r="D3040" s="28"/>
      <c r="E3040" s="28"/>
      <c r="F3040" s="28"/>
      <c r="G3040" s="28"/>
      <c r="H3040" s="28"/>
    </row>
    <row r="3041" spans="4:8" s="25" customFormat="1" ht="11.25" customHeight="1">
      <c r="D3041" s="28"/>
      <c r="E3041" s="28"/>
      <c r="F3041" s="28"/>
      <c r="G3041" s="28"/>
      <c r="H3041" s="28"/>
    </row>
    <row r="3042" spans="4:8" s="25" customFormat="1" ht="11.25" customHeight="1">
      <c r="D3042" s="28"/>
      <c r="E3042" s="28"/>
      <c r="F3042" s="28"/>
      <c r="G3042" s="28"/>
      <c r="H3042" s="28"/>
    </row>
    <row r="3043" spans="4:8" s="25" customFormat="1" ht="11.25" customHeight="1">
      <c r="D3043" s="28"/>
      <c r="E3043" s="28"/>
      <c r="F3043" s="28"/>
      <c r="G3043" s="28"/>
      <c r="H3043" s="28"/>
    </row>
    <row r="3044" spans="4:8" s="25" customFormat="1" ht="11.25" customHeight="1">
      <c r="D3044" s="28"/>
      <c r="E3044" s="28"/>
      <c r="F3044" s="28"/>
      <c r="G3044" s="28"/>
      <c r="H3044" s="28"/>
    </row>
    <row r="3045" spans="4:8" s="25" customFormat="1" ht="11.25" customHeight="1">
      <c r="D3045" s="28"/>
      <c r="E3045" s="28"/>
      <c r="F3045" s="28"/>
      <c r="G3045" s="28"/>
      <c r="H3045" s="28"/>
    </row>
    <row r="3046" spans="4:8" s="25" customFormat="1" ht="11.25" customHeight="1">
      <c r="D3046" s="28"/>
      <c r="E3046" s="28"/>
      <c r="F3046" s="28"/>
      <c r="G3046" s="28"/>
      <c r="H3046" s="28"/>
    </row>
    <row r="3047" spans="4:8" s="25" customFormat="1" ht="11.25" customHeight="1">
      <c r="D3047" s="28"/>
      <c r="E3047" s="28"/>
      <c r="F3047" s="28"/>
      <c r="G3047" s="28"/>
      <c r="H3047" s="28"/>
    </row>
    <row r="3048" spans="4:8" s="25" customFormat="1" ht="11.25" customHeight="1">
      <c r="D3048" s="28"/>
      <c r="E3048" s="28"/>
      <c r="F3048" s="28"/>
      <c r="G3048" s="28"/>
      <c r="H3048" s="28"/>
    </row>
    <row r="3049" spans="4:8" s="25" customFormat="1" ht="11.25" customHeight="1">
      <c r="D3049" s="28"/>
      <c r="E3049" s="28"/>
      <c r="F3049" s="28"/>
      <c r="G3049" s="28"/>
      <c r="H3049" s="28"/>
    </row>
    <row r="3050" spans="4:8" s="25" customFormat="1" ht="11.25" customHeight="1">
      <c r="D3050" s="28"/>
      <c r="E3050" s="28"/>
      <c r="F3050" s="28"/>
      <c r="G3050" s="28"/>
      <c r="H3050" s="28"/>
    </row>
    <row r="3051" spans="4:8" s="25" customFormat="1" ht="11.25" customHeight="1">
      <c r="D3051" s="28"/>
      <c r="E3051" s="28"/>
      <c r="F3051" s="28"/>
      <c r="G3051" s="28"/>
      <c r="H3051" s="28"/>
    </row>
    <row r="3052" spans="4:8" s="25" customFormat="1" ht="11.25" customHeight="1">
      <c r="D3052" s="28"/>
      <c r="E3052" s="28"/>
      <c r="F3052" s="28"/>
      <c r="G3052" s="28"/>
      <c r="H3052" s="28"/>
    </row>
    <row r="3053" spans="4:8" s="25" customFormat="1" ht="11.25" customHeight="1">
      <c r="D3053" s="28"/>
      <c r="E3053" s="28"/>
      <c r="F3053" s="28"/>
      <c r="G3053" s="28"/>
      <c r="H3053" s="28"/>
    </row>
    <row r="3054" spans="4:8" s="25" customFormat="1" ht="11.25" customHeight="1">
      <c r="D3054" s="28"/>
      <c r="E3054" s="28"/>
      <c r="F3054" s="28"/>
      <c r="G3054" s="28"/>
      <c r="H3054" s="28"/>
    </row>
    <row r="3055" spans="4:8" s="25" customFormat="1" ht="11.25" customHeight="1">
      <c r="D3055" s="28"/>
      <c r="E3055" s="28"/>
      <c r="F3055" s="28"/>
      <c r="G3055" s="28"/>
      <c r="H3055" s="28"/>
    </row>
    <row r="3056" spans="4:8" s="25" customFormat="1" ht="11.25" customHeight="1">
      <c r="D3056" s="28"/>
      <c r="E3056" s="28"/>
      <c r="F3056" s="28"/>
      <c r="G3056" s="28"/>
      <c r="H3056" s="28"/>
    </row>
    <row r="3057" spans="4:8" s="25" customFormat="1" ht="11.25" customHeight="1">
      <c r="D3057" s="28"/>
      <c r="E3057" s="28"/>
      <c r="F3057" s="28"/>
      <c r="G3057" s="28"/>
      <c r="H3057" s="28"/>
    </row>
    <row r="3058" spans="4:8" s="25" customFormat="1" ht="11.25" customHeight="1">
      <c r="D3058" s="28"/>
      <c r="E3058" s="28"/>
      <c r="F3058" s="28"/>
      <c r="G3058" s="28"/>
      <c r="H3058" s="28"/>
    </row>
    <row r="3059" spans="4:8" s="25" customFormat="1" ht="11.25" customHeight="1">
      <c r="D3059" s="28"/>
      <c r="E3059" s="28"/>
      <c r="F3059" s="28"/>
      <c r="G3059" s="28"/>
      <c r="H3059" s="28"/>
    </row>
    <row r="3060" spans="4:8" s="25" customFormat="1" ht="11.25" customHeight="1">
      <c r="D3060" s="28"/>
      <c r="E3060" s="28"/>
      <c r="F3060" s="28"/>
      <c r="G3060" s="28"/>
      <c r="H3060" s="28"/>
    </row>
    <row r="3061" spans="4:8" s="25" customFormat="1" ht="11.25" customHeight="1">
      <c r="D3061" s="28"/>
      <c r="E3061" s="28"/>
      <c r="F3061" s="28"/>
      <c r="G3061" s="28"/>
      <c r="H3061" s="28"/>
    </row>
    <row r="3062" spans="4:8" s="25" customFormat="1" ht="11.25" customHeight="1">
      <c r="D3062" s="28"/>
      <c r="E3062" s="28"/>
      <c r="F3062" s="28"/>
      <c r="G3062" s="28"/>
      <c r="H3062" s="28"/>
    </row>
    <row r="3063" spans="4:8" s="25" customFormat="1" ht="11.25" customHeight="1">
      <c r="D3063" s="28"/>
      <c r="E3063" s="28"/>
      <c r="F3063" s="28"/>
      <c r="G3063" s="28"/>
      <c r="H3063" s="28"/>
    </row>
    <row r="3064" spans="4:8" s="25" customFormat="1" ht="11.25" customHeight="1">
      <c r="D3064" s="28"/>
      <c r="E3064" s="28"/>
      <c r="F3064" s="28"/>
      <c r="G3064" s="28"/>
      <c r="H3064" s="28"/>
    </row>
    <row r="3065" spans="4:8" s="25" customFormat="1" ht="11.25" customHeight="1">
      <c r="D3065" s="28"/>
      <c r="E3065" s="28"/>
      <c r="F3065" s="28"/>
      <c r="G3065" s="28"/>
      <c r="H3065" s="28"/>
    </row>
    <row r="3066" spans="4:8" s="25" customFormat="1" ht="11.25" customHeight="1">
      <c r="D3066" s="28"/>
      <c r="E3066" s="28"/>
      <c r="F3066" s="28"/>
      <c r="G3066" s="28"/>
      <c r="H3066" s="28"/>
    </row>
    <row r="3067" spans="4:8" s="25" customFormat="1" ht="11.25" customHeight="1">
      <c r="D3067" s="28"/>
      <c r="E3067" s="28"/>
      <c r="F3067" s="28"/>
      <c r="G3067" s="28"/>
      <c r="H3067" s="28"/>
    </row>
    <row r="3068" spans="4:8" s="25" customFormat="1" ht="11.25" customHeight="1">
      <c r="D3068" s="28"/>
      <c r="E3068" s="28"/>
      <c r="F3068" s="28"/>
      <c r="G3068" s="28"/>
      <c r="H3068" s="28"/>
    </row>
    <row r="3069" spans="4:8" s="25" customFormat="1" ht="11.25" customHeight="1">
      <c r="D3069" s="28"/>
      <c r="E3069" s="28"/>
      <c r="F3069" s="28"/>
      <c r="G3069" s="28"/>
      <c r="H3069" s="28"/>
    </row>
    <row r="3070" spans="4:8" s="25" customFormat="1" ht="11.25" customHeight="1">
      <c r="D3070" s="28"/>
      <c r="E3070" s="28"/>
      <c r="F3070" s="28"/>
      <c r="G3070" s="28"/>
      <c r="H3070" s="28"/>
    </row>
    <row r="3071" spans="4:8" s="25" customFormat="1" ht="11.25" customHeight="1">
      <c r="D3071" s="28"/>
      <c r="E3071" s="28"/>
      <c r="F3071" s="28"/>
      <c r="G3071" s="28"/>
      <c r="H3071" s="28"/>
    </row>
    <row r="3072" spans="4:8" s="25" customFormat="1" ht="11.25" customHeight="1">
      <c r="D3072" s="28"/>
      <c r="E3072" s="28"/>
      <c r="F3072" s="28"/>
      <c r="G3072" s="28"/>
      <c r="H3072" s="28"/>
    </row>
    <row r="3073" spans="4:8" s="25" customFormat="1" ht="11.25" customHeight="1">
      <c r="D3073" s="28"/>
      <c r="E3073" s="28"/>
      <c r="F3073" s="28"/>
      <c r="G3073" s="28"/>
      <c r="H3073" s="28"/>
    </row>
    <row r="3074" spans="4:8" s="25" customFormat="1" ht="11.25" customHeight="1">
      <c r="D3074" s="28"/>
      <c r="E3074" s="28"/>
      <c r="F3074" s="28"/>
      <c r="G3074" s="28"/>
      <c r="H3074" s="28"/>
    </row>
    <row r="3075" spans="4:8" s="25" customFormat="1" ht="11.25" customHeight="1">
      <c r="D3075" s="28"/>
      <c r="E3075" s="28"/>
      <c r="F3075" s="28"/>
      <c r="G3075" s="28"/>
      <c r="H3075" s="28"/>
    </row>
    <row r="3076" spans="4:8" s="25" customFormat="1" ht="11.25" customHeight="1">
      <c r="D3076" s="28"/>
      <c r="E3076" s="28"/>
      <c r="F3076" s="28"/>
      <c r="G3076" s="28"/>
      <c r="H3076" s="28"/>
    </row>
    <row r="3077" spans="4:8" s="25" customFormat="1" ht="11.25" customHeight="1">
      <c r="D3077" s="28"/>
      <c r="E3077" s="28"/>
      <c r="F3077" s="28"/>
      <c r="G3077" s="28"/>
      <c r="H3077" s="28"/>
    </row>
    <row r="3078" spans="4:8" s="25" customFormat="1" ht="11.25" customHeight="1">
      <c r="D3078" s="28"/>
      <c r="E3078" s="28"/>
      <c r="F3078" s="28"/>
      <c r="G3078" s="28"/>
      <c r="H3078" s="28"/>
    </row>
    <row r="3079" spans="4:8" s="25" customFormat="1" ht="11.25" customHeight="1">
      <c r="D3079" s="28"/>
      <c r="E3079" s="28"/>
      <c r="F3079" s="28"/>
      <c r="G3079" s="28"/>
      <c r="H3079" s="28"/>
    </row>
    <row r="3080" spans="4:8" s="25" customFormat="1" ht="11.25" customHeight="1">
      <c r="D3080" s="28"/>
      <c r="E3080" s="28"/>
      <c r="F3080" s="28"/>
      <c r="G3080" s="28"/>
      <c r="H3080" s="28"/>
    </row>
    <row r="3081" spans="4:8" s="25" customFormat="1" ht="11.25" customHeight="1">
      <c r="D3081" s="28"/>
      <c r="E3081" s="28"/>
      <c r="F3081" s="28"/>
      <c r="G3081" s="28"/>
      <c r="H3081" s="28"/>
    </row>
    <row r="3082" spans="4:8" s="25" customFormat="1" ht="11.25" customHeight="1">
      <c r="D3082" s="28"/>
      <c r="E3082" s="28"/>
      <c r="F3082" s="28"/>
      <c r="G3082" s="28"/>
      <c r="H3082" s="28"/>
    </row>
    <row r="3083" spans="4:8" s="25" customFormat="1" ht="11.25" customHeight="1">
      <c r="D3083" s="28"/>
      <c r="E3083" s="28"/>
      <c r="F3083" s="28"/>
      <c r="G3083" s="28"/>
      <c r="H3083" s="28"/>
    </row>
    <row r="3084" spans="4:8" s="25" customFormat="1" ht="11.25" customHeight="1">
      <c r="D3084" s="28"/>
      <c r="E3084" s="28"/>
      <c r="F3084" s="28"/>
      <c r="G3084" s="28"/>
      <c r="H3084" s="28"/>
    </row>
    <row r="3085" spans="4:8" s="25" customFormat="1" ht="11.25" customHeight="1">
      <c r="D3085" s="28"/>
      <c r="E3085" s="28"/>
      <c r="F3085" s="28"/>
      <c r="G3085" s="28"/>
      <c r="H3085" s="28"/>
    </row>
    <row r="3086" spans="4:8" s="25" customFormat="1" ht="11.25" customHeight="1">
      <c r="D3086" s="28"/>
      <c r="E3086" s="28"/>
      <c r="F3086" s="28"/>
      <c r="G3086" s="28"/>
      <c r="H3086" s="28"/>
    </row>
    <row r="3087" spans="4:8" s="25" customFormat="1" ht="11.25" customHeight="1">
      <c r="D3087" s="28"/>
      <c r="E3087" s="28"/>
      <c r="F3087" s="28"/>
      <c r="G3087" s="28"/>
      <c r="H3087" s="28"/>
    </row>
    <row r="3088" spans="4:8" s="25" customFormat="1" ht="11.25" customHeight="1">
      <c r="D3088" s="28"/>
      <c r="E3088" s="28"/>
      <c r="F3088" s="28"/>
      <c r="G3088" s="28"/>
      <c r="H3088" s="28"/>
    </row>
    <row r="3089" spans="4:8" s="25" customFormat="1" ht="11.25" customHeight="1">
      <c r="D3089" s="28"/>
      <c r="E3089" s="28"/>
      <c r="F3089" s="28"/>
      <c r="G3089" s="28"/>
      <c r="H3089" s="28"/>
    </row>
    <row r="3090" spans="4:8" s="25" customFormat="1" ht="11.25" customHeight="1">
      <c r="D3090" s="28"/>
      <c r="E3090" s="28"/>
      <c r="F3090" s="28"/>
      <c r="G3090" s="28"/>
      <c r="H3090" s="28"/>
    </row>
    <row r="3091" spans="4:8" s="25" customFormat="1" ht="11.25" customHeight="1">
      <c r="D3091" s="28"/>
      <c r="E3091" s="28"/>
      <c r="F3091" s="28"/>
      <c r="G3091" s="28"/>
      <c r="H3091" s="28"/>
    </row>
    <row r="3092" spans="4:8" s="25" customFormat="1" ht="11.25" customHeight="1">
      <c r="D3092" s="28"/>
      <c r="E3092" s="28"/>
      <c r="F3092" s="28"/>
      <c r="G3092" s="28"/>
      <c r="H3092" s="28"/>
    </row>
    <row r="3093" spans="4:8" s="25" customFormat="1" ht="11.25" customHeight="1">
      <c r="D3093" s="28"/>
      <c r="E3093" s="28"/>
      <c r="F3093" s="28"/>
      <c r="G3093" s="28"/>
      <c r="H3093" s="28"/>
    </row>
    <row r="3094" spans="4:8" s="25" customFormat="1" ht="11.25" customHeight="1">
      <c r="D3094" s="28"/>
      <c r="E3094" s="28"/>
      <c r="F3094" s="28"/>
      <c r="G3094" s="28"/>
      <c r="H3094" s="28"/>
    </row>
    <row r="3095" spans="4:8" s="25" customFormat="1" ht="11.25" customHeight="1">
      <c r="D3095" s="28"/>
      <c r="E3095" s="28"/>
      <c r="F3095" s="28"/>
      <c r="G3095" s="28"/>
      <c r="H3095" s="28"/>
    </row>
    <row r="3096" spans="4:8" s="25" customFormat="1" ht="11.25" customHeight="1">
      <c r="D3096" s="28"/>
      <c r="E3096" s="28"/>
      <c r="F3096" s="28"/>
      <c r="G3096" s="28"/>
      <c r="H3096" s="28"/>
    </row>
    <row r="3097" spans="4:8" s="25" customFormat="1" ht="11.25" customHeight="1">
      <c r="D3097" s="28"/>
      <c r="E3097" s="28"/>
      <c r="F3097" s="28"/>
      <c r="G3097" s="28"/>
      <c r="H3097" s="28"/>
    </row>
    <row r="3098" spans="4:8" s="25" customFormat="1" ht="11.25" customHeight="1">
      <c r="D3098" s="28"/>
      <c r="E3098" s="28"/>
      <c r="F3098" s="28"/>
      <c r="G3098" s="28"/>
      <c r="H3098" s="28"/>
    </row>
    <row r="3099" spans="4:8" s="25" customFormat="1" ht="11.25" customHeight="1">
      <c r="D3099" s="28"/>
      <c r="E3099" s="28"/>
      <c r="F3099" s="28"/>
      <c r="G3099" s="28"/>
      <c r="H3099" s="28"/>
    </row>
    <row r="3100" spans="4:8" s="25" customFormat="1" ht="11.25" customHeight="1">
      <c r="D3100" s="28"/>
      <c r="E3100" s="28"/>
      <c r="F3100" s="28"/>
      <c r="G3100" s="28"/>
      <c r="H3100" s="28"/>
    </row>
    <row r="3101" spans="4:8" s="25" customFormat="1" ht="11.25" customHeight="1">
      <c r="D3101" s="28"/>
      <c r="E3101" s="28"/>
      <c r="F3101" s="28"/>
      <c r="G3101" s="28"/>
      <c r="H3101" s="28"/>
    </row>
    <row r="3102" spans="4:8" s="25" customFormat="1" ht="11.25" customHeight="1">
      <c r="D3102" s="28"/>
      <c r="E3102" s="28"/>
      <c r="F3102" s="28"/>
      <c r="G3102" s="28"/>
      <c r="H3102" s="28"/>
    </row>
    <row r="3103" spans="4:8" s="25" customFormat="1" ht="11.25" customHeight="1">
      <c r="D3103" s="28"/>
      <c r="E3103" s="28"/>
      <c r="F3103" s="28"/>
      <c r="G3103" s="28"/>
      <c r="H3103" s="28"/>
    </row>
    <row r="3104" spans="4:8" s="25" customFormat="1" ht="11.25" customHeight="1">
      <c r="D3104" s="28"/>
      <c r="E3104" s="28"/>
      <c r="F3104" s="28"/>
      <c r="G3104" s="28"/>
      <c r="H3104" s="28"/>
    </row>
    <row r="3105" spans="4:8" s="25" customFormat="1" ht="11.25" customHeight="1">
      <c r="D3105" s="28"/>
      <c r="E3105" s="28"/>
      <c r="F3105" s="28"/>
      <c r="G3105" s="28"/>
      <c r="H3105" s="28"/>
    </row>
    <row r="3106" spans="4:8" s="25" customFormat="1" ht="11.25" customHeight="1">
      <c r="D3106" s="28"/>
      <c r="E3106" s="28"/>
      <c r="F3106" s="28"/>
      <c r="G3106" s="28"/>
      <c r="H3106" s="28"/>
    </row>
    <row r="3107" spans="4:8" s="25" customFormat="1" ht="11.25" customHeight="1">
      <c r="D3107" s="28"/>
      <c r="E3107" s="28"/>
      <c r="F3107" s="28"/>
      <c r="G3107" s="28"/>
      <c r="H3107" s="28"/>
    </row>
    <row r="3108" spans="4:8" s="25" customFormat="1" ht="11.25" customHeight="1">
      <c r="D3108" s="28"/>
      <c r="E3108" s="28"/>
      <c r="F3108" s="28"/>
      <c r="G3108" s="28"/>
      <c r="H3108" s="28"/>
    </row>
    <row r="3109" spans="4:8" s="25" customFormat="1" ht="11.25" customHeight="1">
      <c r="D3109" s="28"/>
      <c r="E3109" s="28"/>
      <c r="F3109" s="28"/>
      <c r="G3109" s="28"/>
      <c r="H3109" s="28"/>
    </row>
    <row r="3110" spans="4:8" s="25" customFormat="1" ht="11.25" customHeight="1">
      <c r="D3110" s="28"/>
      <c r="E3110" s="28"/>
      <c r="F3110" s="28"/>
      <c r="G3110" s="28"/>
      <c r="H3110" s="28"/>
    </row>
    <row r="3111" spans="4:8" s="25" customFormat="1" ht="11.25" customHeight="1">
      <c r="D3111" s="28"/>
      <c r="E3111" s="28"/>
      <c r="F3111" s="28"/>
      <c r="G3111" s="28"/>
      <c r="H3111" s="28"/>
    </row>
    <row r="3112" spans="4:8" s="25" customFormat="1" ht="11.25" customHeight="1">
      <c r="D3112" s="28"/>
      <c r="E3112" s="28"/>
      <c r="F3112" s="28"/>
      <c r="G3112" s="28"/>
      <c r="H3112" s="28"/>
    </row>
    <row r="3113" spans="4:8" s="25" customFormat="1" ht="11.25" customHeight="1">
      <c r="D3113" s="28"/>
      <c r="E3113" s="28"/>
      <c r="F3113" s="28"/>
      <c r="G3113" s="28"/>
      <c r="H3113" s="28"/>
    </row>
    <row r="3114" spans="4:8" s="25" customFormat="1" ht="11.25" customHeight="1">
      <c r="D3114" s="28"/>
      <c r="E3114" s="28"/>
      <c r="F3114" s="28"/>
      <c r="G3114" s="28"/>
      <c r="H3114" s="28"/>
    </row>
    <row r="3115" spans="4:8" s="25" customFormat="1" ht="11.25" customHeight="1">
      <c r="D3115" s="28"/>
      <c r="E3115" s="28"/>
      <c r="F3115" s="28"/>
      <c r="G3115" s="28"/>
      <c r="H3115" s="28"/>
    </row>
    <row r="3116" spans="4:8" s="25" customFormat="1" ht="11.25" customHeight="1">
      <c r="D3116" s="28"/>
      <c r="E3116" s="28"/>
      <c r="F3116" s="28"/>
      <c r="G3116" s="28"/>
      <c r="H3116" s="28"/>
    </row>
    <row r="3117" spans="4:8" s="25" customFormat="1" ht="11.25" customHeight="1">
      <c r="D3117" s="28"/>
      <c r="E3117" s="28"/>
      <c r="F3117" s="28"/>
      <c r="G3117" s="28"/>
      <c r="H3117" s="28"/>
    </row>
    <row r="3118" spans="4:8" s="25" customFormat="1" ht="11.25" customHeight="1">
      <c r="D3118" s="28"/>
      <c r="E3118" s="28"/>
      <c r="F3118" s="28"/>
      <c r="G3118" s="28"/>
      <c r="H3118" s="28"/>
    </row>
    <row r="3119" spans="4:8" s="25" customFormat="1" ht="11.25" customHeight="1">
      <c r="D3119" s="28"/>
      <c r="E3119" s="28"/>
      <c r="F3119" s="28"/>
      <c r="G3119" s="28"/>
      <c r="H3119" s="28"/>
    </row>
    <row r="3120" spans="4:8" s="25" customFormat="1" ht="11.25" customHeight="1">
      <c r="D3120" s="28"/>
      <c r="E3120" s="28"/>
      <c r="F3120" s="28"/>
      <c r="G3120" s="28"/>
      <c r="H3120" s="28"/>
    </row>
    <row r="3121" spans="4:8" s="25" customFormat="1" ht="11.25" customHeight="1">
      <c r="D3121" s="28"/>
      <c r="E3121" s="28"/>
      <c r="F3121" s="28"/>
      <c r="G3121" s="28"/>
      <c r="H3121" s="28"/>
    </row>
    <row r="3122" spans="4:8" s="25" customFormat="1" ht="11.25" customHeight="1">
      <c r="D3122" s="28"/>
      <c r="E3122" s="28"/>
      <c r="F3122" s="28"/>
      <c r="G3122" s="28"/>
      <c r="H3122" s="28"/>
    </row>
    <row r="3123" spans="4:8" s="25" customFormat="1" ht="11.25" customHeight="1">
      <c r="D3123" s="28"/>
      <c r="E3123" s="28"/>
      <c r="F3123" s="28"/>
      <c r="G3123" s="28"/>
      <c r="H3123" s="28"/>
    </row>
    <row r="3124" spans="4:8" s="25" customFormat="1" ht="11.25" customHeight="1">
      <c r="D3124" s="28"/>
      <c r="E3124" s="28"/>
      <c r="F3124" s="28"/>
      <c r="G3124" s="28"/>
      <c r="H3124" s="28"/>
    </row>
    <row r="3125" spans="4:8" s="25" customFormat="1" ht="11.25" customHeight="1">
      <c r="D3125" s="28"/>
      <c r="E3125" s="28"/>
      <c r="F3125" s="28"/>
      <c r="G3125" s="28"/>
      <c r="H3125" s="28"/>
    </row>
    <row r="3126" spans="4:8" s="25" customFormat="1" ht="11.25" customHeight="1">
      <c r="D3126" s="28"/>
      <c r="E3126" s="28"/>
      <c r="F3126" s="28"/>
      <c r="G3126" s="28"/>
      <c r="H3126" s="28"/>
    </row>
    <row r="3127" spans="4:8" s="25" customFormat="1" ht="11.25" customHeight="1">
      <c r="D3127" s="28"/>
      <c r="E3127" s="28"/>
      <c r="F3127" s="28"/>
      <c r="G3127" s="28"/>
      <c r="H3127" s="28"/>
    </row>
    <row r="3128" spans="4:8" s="25" customFormat="1" ht="11.25" customHeight="1">
      <c r="D3128" s="28"/>
      <c r="E3128" s="28"/>
      <c r="F3128" s="28"/>
      <c r="G3128" s="28"/>
      <c r="H3128" s="28"/>
    </row>
    <row r="3129" spans="4:8" s="25" customFormat="1" ht="11.25" customHeight="1">
      <c r="D3129" s="28"/>
      <c r="E3129" s="28"/>
      <c r="F3129" s="28"/>
      <c r="G3129" s="28"/>
      <c r="H3129" s="28"/>
    </row>
    <row r="3130" spans="4:8" s="25" customFormat="1" ht="11.25" customHeight="1">
      <c r="D3130" s="28"/>
      <c r="E3130" s="28"/>
      <c r="F3130" s="28"/>
      <c r="G3130" s="28"/>
      <c r="H3130" s="28"/>
    </row>
    <row r="3131" spans="4:8" s="25" customFormat="1" ht="11.25" customHeight="1">
      <c r="D3131" s="28"/>
      <c r="E3131" s="28"/>
      <c r="F3131" s="28"/>
      <c r="G3131" s="28"/>
      <c r="H3131" s="28"/>
    </row>
    <row r="3132" spans="4:8" s="25" customFormat="1" ht="11.25" customHeight="1">
      <c r="D3132" s="28"/>
      <c r="E3132" s="28"/>
      <c r="F3132" s="28"/>
      <c r="G3132" s="28"/>
      <c r="H3132" s="28"/>
    </row>
    <row r="3133" spans="4:8" s="25" customFormat="1" ht="11.25" customHeight="1">
      <c r="D3133" s="28"/>
      <c r="E3133" s="28"/>
      <c r="F3133" s="28"/>
      <c r="G3133" s="28"/>
      <c r="H3133" s="28"/>
    </row>
    <row r="3134" spans="4:8" s="25" customFormat="1" ht="11.25" customHeight="1">
      <c r="D3134" s="28"/>
      <c r="E3134" s="28"/>
      <c r="F3134" s="28"/>
      <c r="G3134" s="28"/>
      <c r="H3134" s="28"/>
    </row>
    <row r="3135" spans="4:8" s="25" customFormat="1" ht="11.25" customHeight="1">
      <c r="D3135" s="28"/>
      <c r="E3135" s="28"/>
      <c r="F3135" s="28"/>
      <c r="G3135" s="28"/>
      <c r="H3135" s="28"/>
    </row>
    <row r="3136" spans="4:8" s="25" customFormat="1" ht="11.25" customHeight="1">
      <c r="D3136" s="28"/>
      <c r="E3136" s="28"/>
      <c r="F3136" s="28"/>
      <c r="G3136" s="28"/>
      <c r="H3136" s="28"/>
    </row>
    <row r="3137" spans="4:8" s="25" customFormat="1" ht="11.25" customHeight="1">
      <c r="D3137" s="28"/>
      <c r="E3137" s="28"/>
      <c r="F3137" s="28"/>
      <c r="G3137" s="28"/>
      <c r="H3137" s="28"/>
    </row>
    <row r="3138" spans="4:8" s="25" customFormat="1" ht="11.25" customHeight="1">
      <c r="D3138" s="28"/>
      <c r="E3138" s="28"/>
      <c r="F3138" s="28"/>
      <c r="G3138" s="28"/>
      <c r="H3138" s="28"/>
    </row>
    <row r="3139" spans="4:8" s="25" customFormat="1" ht="11.25" customHeight="1">
      <c r="D3139" s="28"/>
      <c r="E3139" s="28"/>
      <c r="F3139" s="28"/>
      <c r="G3139" s="28"/>
      <c r="H3139" s="28"/>
    </row>
    <row r="3140" spans="4:8" s="25" customFormat="1" ht="11.25" customHeight="1">
      <c r="D3140" s="28"/>
      <c r="E3140" s="28"/>
      <c r="F3140" s="28"/>
      <c r="G3140" s="28"/>
      <c r="H3140" s="28"/>
    </row>
    <row r="3141" spans="4:8" s="25" customFormat="1" ht="11.25" customHeight="1">
      <c r="D3141" s="28"/>
      <c r="E3141" s="28"/>
      <c r="F3141" s="28"/>
      <c r="G3141" s="28"/>
      <c r="H3141" s="28"/>
    </row>
    <row r="3142" spans="4:8" s="25" customFormat="1" ht="11.25" customHeight="1">
      <c r="D3142" s="28"/>
      <c r="E3142" s="28"/>
      <c r="F3142" s="28"/>
      <c r="G3142" s="28"/>
      <c r="H3142" s="28"/>
    </row>
    <row r="3143" spans="4:8" s="25" customFormat="1" ht="11.25" customHeight="1">
      <c r="D3143" s="28"/>
      <c r="E3143" s="28"/>
      <c r="F3143" s="28"/>
      <c r="G3143" s="28"/>
      <c r="H3143" s="28"/>
    </row>
    <row r="3144" spans="4:8" s="25" customFormat="1" ht="11.25" customHeight="1">
      <c r="D3144" s="28"/>
      <c r="E3144" s="28"/>
      <c r="F3144" s="28"/>
      <c r="G3144" s="28"/>
      <c r="H3144" s="28"/>
    </row>
    <row r="3145" spans="4:8" s="25" customFormat="1" ht="11.25" customHeight="1">
      <c r="D3145" s="28"/>
      <c r="E3145" s="28"/>
      <c r="F3145" s="28"/>
      <c r="G3145" s="28"/>
      <c r="H3145" s="28"/>
    </row>
    <row r="3146" spans="4:8" s="25" customFormat="1" ht="11.25" customHeight="1">
      <c r="D3146" s="28"/>
      <c r="E3146" s="28"/>
      <c r="F3146" s="28"/>
      <c r="G3146" s="28"/>
      <c r="H3146" s="28"/>
    </row>
    <row r="3147" spans="4:8" s="25" customFormat="1" ht="11.25" customHeight="1">
      <c r="D3147" s="28"/>
      <c r="E3147" s="28"/>
      <c r="F3147" s="28"/>
      <c r="G3147" s="28"/>
      <c r="H3147" s="28"/>
    </row>
    <row r="3148" spans="4:8" s="25" customFormat="1" ht="11.25" customHeight="1">
      <c r="D3148" s="28"/>
      <c r="E3148" s="28"/>
      <c r="F3148" s="28"/>
      <c r="G3148" s="28"/>
      <c r="H3148" s="28"/>
    </row>
    <row r="3149" spans="4:8" s="25" customFormat="1" ht="11.25" customHeight="1">
      <c r="D3149" s="28"/>
      <c r="E3149" s="28"/>
      <c r="F3149" s="28"/>
      <c r="G3149" s="28"/>
      <c r="H3149" s="28"/>
    </row>
    <row r="3150" spans="4:8" s="25" customFormat="1" ht="11.25" customHeight="1">
      <c r="D3150" s="28"/>
      <c r="E3150" s="28"/>
      <c r="F3150" s="28"/>
      <c r="G3150" s="28"/>
      <c r="H3150" s="28"/>
    </row>
    <row r="3151" spans="4:8" s="25" customFormat="1" ht="11.25" customHeight="1">
      <c r="D3151" s="28"/>
      <c r="E3151" s="28"/>
      <c r="F3151" s="28"/>
      <c r="G3151" s="28"/>
      <c r="H3151" s="28"/>
    </row>
    <row r="3152" spans="4:8" s="25" customFormat="1" ht="11.25" customHeight="1">
      <c r="D3152" s="28"/>
      <c r="E3152" s="28"/>
      <c r="F3152" s="28"/>
      <c r="G3152" s="28"/>
      <c r="H3152" s="28"/>
    </row>
    <row r="3153" spans="4:8" s="25" customFormat="1" ht="11.25" customHeight="1">
      <c r="D3153" s="28"/>
      <c r="E3153" s="28"/>
      <c r="F3153" s="28"/>
      <c r="G3153" s="28"/>
      <c r="H3153" s="28"/>
    </row>
    <row r="3154" spans="4:8" s="25" customFormat="1" ht="11.25" customHeight="1">
      <c r="D3154" s="28"/>
      <c r="E3154" s="28"/>
      <c r="F3154" s="28"/>
      <c r="G3154" s="28"/>
      <c r="H3154" s="28"/>
    </row>
    <row r="3155" spans="4:8" s="25" customFormat="1" ht="11.25" customHeight="1">
      <c r="D3155" s="28"/>
      <c r="E3155" s="28"/>
      <c r="F3155" s="28"/>
      <c r="G3155" s="28"/>
      <c r="H3155" s="28"/>
    </row>
    <row r="3156" spans="4:8" s="25" customFormat="1" ht="11.25" customHeight="1">
      <c r="D3156" s="28"/>
      <c r="E3156" s="28"/>
      <c r="F3156" s="28"/>
      <c r="G3156" s="28"/>
      <c r="H3156" s="28"/>
    </row>
    <row r="3157" spans="4:8" s="25" customFormat="1" ht="11.25" customHeight="1">
      <c r="D3157" s="28"/>
      <c r="E3157" s="28"/>
      <c r="F3157" s="28"/>
      <c r="G3157" s="28"/>
      <c r="H3157" s="28"/>
    </row>
    <row r="3158" spans="4:8" s="25" customFormat="1" ht="11.25" customHeight="1">
      <c r="D3158" s="28"/>
      <c r="E3158" s="28"/>
      <c r="F3158" s="28"/>
      <c r="G3158" s="28"/>
      <c r="H3158" s="28"/>
    </row>
    <row r="3159" spans="4:8" s="25" customFormat="1" ht="11.25" customHeight="1">
      <c r="D3159" s="28"/>
      <c r="E3159" s="28"/>
      <c r="F3159" s="28"/>
      <c r="G3159" s="28"/>
      <c r="H3159" s="28"/>
    </row>
    <row r="3160" spans="4:8" s="25" customFormat="1" ht="11.25" customHeight="1">
      <c r="D3160" s="28"/>
      <c r="E3160" s="28"/>
      <c r="F3160" s="28"/>
      <c r="G3160" s="28"/>
      <c r="H3160" s="28"/>
    </row>
    <row r="3161" spans="4:8" s="25" customFormat="1" ht="11.25" customHeight="1">
      <c r="D3161" s="28"/>
      <c r="E3161" s="28"/>
      <c r="F3161" s="28"/>
      <c r="G3161" s="28"/>
      <c r="H3161" s="28"/>
    </row>
    <row r="3162" spans="4:8" s="25" customFormat="1" ht="11.25" customHeight="1">
      <c r="D3162" s="28"/>
      <c r="E3162" s="28"/>
      <c r="F3162" s="28"/>
      <c r="G3162" s="28"/>
      <c r="H3162" s="28"/>
    </row>
    <row r="3163" spans="4:8" s="25" customFormat="1" ht="11.25" customHeight="1">
      <c r="D3163" s="28"/>
      <c r="E3163" s="28"/>
      <c r="F3163" s="28"/>
      <c r="G3163" s="28"/>
      <c r="H3163" s="28"/>
    </row>
    <row r="3164" spans="4:8" s="25" customFormat="1" ht="11.25" customHeight="1">
      <c r="D3164" s="28"/>
      <c r="E3164" s="28"/>
      <c r="F3164" s="28"/>
      <c r="G3164" s="28"/>
      <c r="H3164" s="28"/>
    </row>
    <row r="3165" spans="4:8" s="25" customFormat="1" ht="11.25" customHeight="1">
      <c r="D3165" s="28"/>
      <c r="E3165" s="28"/>
      <c r="F3165" s="28"/>
      <c r="G3165" s="28"/>
      <c r="H3165" s="28"/>
    </row>
    <row r="3166" spans="4:8" s="25" customFormat="1" ht="11.25" customHeight="1">
      <c r="D3166" s="28"/>
      <c r="E3166" s="28"/>
      <c r="F3166" s="28"/>
      <c r="G3166" s="28"/>
      <c r="H3166" s="28"/>
    </row>
    <row r="3167" spans="4:8" s="25" customFormat="1" ht="11.25" customHeight="1">
      <c r="D3167" s="28"/>
      <c r="E3167" s="28"/>
      <c r="F3167" s="28"/>
      <c r="G3167" s="28"/>
      <c r="H3167" s="28"/>
    </row>
    <row r="3168" spans="4:8" s="25" customFormat="1" ht="11.25" customHeight="1">
      <c r="D3168" s="28"/>
      <c r="E3168" s="28"/>
      <c r="F3168" s="28"/>
      <c r="G3168" s="28"/>
      <c r="H3168" s="28"/>
    </row>
    <row r="3169" spans="4:8" s="25" customFormat="1" ht="11.25" customHeight="1">
      <c r="D3169" s="28"/>
      <c r="E3169" s="28"/>
      <c r="F3169" s="28"/>
      <c r="G3169" s="28"/>
      <c r="H3169" s="28"/>
    </row>
    <row r="3170" spans="4:8" s="25" customFormat="1" ht="11.25" customHeight="1">
      <c r="D3170" s="28"/>
      <c r="E3170" s="28"/>
      <c r="F3170" s="28"/>
      <c r="G3170" s="28"/>
      <c r="H3170" s="28"/>
    </row>
    <row r="3171" spans="4:8" s="25" customFormat="1" ht="11.25" customHeight="1">
      <c r="D3171" s="28"/>
      <c r="E3171" s="28"/>
      <c r="F3171" s="28"/>
      <c r="G3171" s="28"/>
      <c r="H3171" s="28"/>
    </row>
    <row r="3172" spans="4:8" s="25" customFormat="1" ht="11.25" customHeight="1">
      <c r="D3172" s="28"/>
      <c r="E3172" s="28"/>
      <c r="F3172" s="28"/>
      <c r="G3172" s="28"/>
      <c r="H3172" s="28"/>
    </row>
    <row r="3173" spans="4:8" s="25" customFormat="1" ht="11.25" customHeight="1">
      <c r="D3173" s="28"/>
      <c r="E3173" s="28"/>
      <c r="F3173" s="28"/>
      <c r="G3173" s="28"/>
      <c r="H3173" s="28"/>
    </row>
    <row r="3174" spans="4:8" s="25" customFormat="1" ht="11.25" customHeight="1">
      <c r="D3174" s="28"/>
      <c r="E3174" s="28"/>
      <c r="F3174" s="28"/>
      <c r="G3174" s="28"/>
      <c r="H3174" s="28"/>
    </row>
    <row r="3175" spans="4:8" s="25" customFormat="1" ht="11.25" customHeight="1">
      <c r="D3175" s="28"/>
      <c r="E3175" s="28"/>
      <c r="F3175" s="28"/>
      <c r="G3175" s="28"/>
      <c r="H3175" s="28"/>
    </row>
    <row r="3176" spans="4:8" s="25" customFormat="1" ht="11.25" customHeight="1">
      <c r="D3176" s="28"/>
      <c r="E3176" s="28"/>
      <c r="F3176" s="28"/>
      <c r="G3176" s="28"/>
      <c r="H3176" s="28"/>
    </row>
    <row r="3177" spans="4:8" s="25" customFormat="1" ht="11.25" customHeight="1">
      <c r="D3177" s="28"/>
      <c r="E3177" s="28"/>
      <c r="F3177" s="28"/>
      <c r="G3177" s="28"/>
      <c r="H3177" s="28"/>
    </row>
    <row r="3178" spans="4:8" s="25" customFormat="1" ht="11.25" customHeight="1">
      <c r="D3178" s="28"/>
      <c r="E3178" s="28"/>
      <c r="F3178" s="28"/>
      <c r="G3178" s="28"/>
      <c r="H3178" s="28"/>
    </row>
    <row r="3179" spans="4:8" s="25" customFormat="1" ht="11.25" customHeight="1">
      <c r="D3179" s="28"/>
      <c r="E3179" s="28"/>
      <c r="F3179" s="28"/>
      <c r="G3179" s="28"/>
      <c r="H3179" s="28"/>
    </row>
    <row r="3180" spans="4:8" s="25" customFormat="1" ht="11.25" customHeight="1">
      <c r="D3180" s="28"/>
      <c r="E3180" s="28"/>
      <c r="F3180" s="28"/>
      <c r="G3180" s="28"/>
      <c r="H3180" s="28"/>
    </row>
    <row r="3181" spans="4:8" s="25" customFormat="1" ht="11.25" customHeight="1">
      <c r="D3181" s="28"/>
      <c r="E3181" s="28"/>
      <c r="F3181" s="28"/>
      <c r="G3181" s="28"/>
      <c r="H3181" s="28"/>
    </row>
    <row r="3182" spans="4:8" s="25" customFormat="1" ht="11.25" customHeight="1">
      <c r="D3182" s="28"/>
      <c r="E3182" s="28"/>
      <c r="F3182" s="28"/>
      <c r="G3182" s="28"/>
      <c r="H3182" s="28"/>
    </row>
    <row r="3183" spans="4:8" s="25" customFormat="1" ht="11.25" customHeight="1">
      <c r="D3183" s="28"/>
      <c r="E3183" s="28"/>
      <c r="F3183" s="28"/>
      <c r="G3183" s="28"/>
      <c r="H3183" s="28"/>
    </row>
    <row r="3184" spans="4:8" s="25" customFormat="1" ht="11.25" customHeight="1">
      <c r="D3184" s="28"/>
      <c r="E3184" s="28"/>
      <c r="F3184" s="28"/>
      <c r="G3184" s="28"/>
      <c r="H3184" s="28"/>
    </row>
    <row r="3185" spans="4:8" s="25" customFormat="1" ht="11.25" customHeight="1">
      <c r="D3185" s="28"/>
      <c r="E3185" s="28"/>
      <c r="F3185" s="28"/>
      <c r="G3185" s="28"/>
      <c r="H3185" s="28"/>
    </row>
    <row r="3186" spans="4:8" s="25" customFormat="1" ht="11.25" customHeight="1">
      <c r="D3186" s="28"/>
      <c r="E3186" s="28"/>
      <c r="F3186" s="28"/>
      <c r="G3186" s="28"/>
      <c r="H3186" s="28"/>
    </row>
    <row r="3187" spans="4:8" s="25" customFormat="1" ht="11.25" customHeight="1">
      <c r="D3187" s="28"/>
      <c r="E3187" s="28"/>
      <c r="F3187" s="28"/>
      <c r="G3187" s="28"/>
      <c r="H3187" s="28"/>
    </row>
    <row r="3188" spans="4:8" s="25" customFormat="1" ht="11.25" customHeight="1">
      <c r="D3188" s="28"/>
      <c r="E3188" s="28"/>
      <c r="F3188" s="28"/>
      <c r="G3188" s="28"/>
      <c r="H3188" s="28"/>
    </row>
    <row r="3189" spans="4:8" s="25" customFormat="1" ht="11.25" customHeight="1">
      <c r="D3189" s="28"/>
      <c r="E3189" s="28"/>
      <c r="F3189" s="28"/>
      <c r="G3189" s="28"/>
      <c r="H3189" s="28"/>
    </row>
    <row r="3190" spans="4:8" s="25" customFormat="1" ht="11.25" customHeight="1">
      <c r="D3190" s="28"/>
      <c r="E3190" s="28"/>
      <c r="F3190" s="28"/>
      <c r="G3190" s="28"/>
      <c r="H3190" s="28"/>
    </row>
    <row r="3191" spans="4:8" s="25" customFormat="1" ht="11.25" customHeight="1">
      <c r="D3191" s="28"/>
      <c r="E3191" s="28"/>
      <c r="F3191" s="28"/>
      <c r="G3191" s="28"/>
      <c r="H3191" s="28"/>
    </row>
    <row r="3192" spans="4:8" s="25" customFormat="1" ht="11.25" customHeight="1">
      <c r="D3192" s="28"/>
      <c r="E3192" s="28"/>
      <c r="F3192" s="28"/>
      <c r="G3192" s="28"/>
      <c r="H3192" s="28"/>
    </row>
    <row r="3193" spans="4:8" s="25" customFormat="1" ht="11.25" customHeight="1">
      <c r="D3193" s="28"/>
      <c r="E3193" s="28"/>
      <c r="F3193" s="28"/>
      <c r="G3193" s="28"/>
      <c r="H3193" s="28"/>
    </row>
    <row r="3194" spans="4:8" s="25" customFormat="1" ht="11.25" customHeight="1">
      <c r="D3194" s="28"/>
      <c r="E3194" s="28"/>
      <c r="F3194" s="28"/>
      <c r="G3194" s="28"/>
      <c r="H3194" s="28"/>
    </row>
    <row r="3195" spans="4:8" s="25" customFormat="1" ht="11.25" customHeight="1">
      <c r="D3195" s="28"/>
      <c r="E3195" s="28"/>
      <c r="F3195" s="28"/>
      <c r="G3195" s="28"/>
      <c r="H3195" s="28"/>
    </row>
    <row r="3196" spans="4:8" s="25" customFormat="1" ht="11.25" customHeight="1">
      <c r="D3196" s="28"/>
      <c r="E3196" s="28"/>
      <c r="F3196" s="28"/>
      <c r="G3196" s="28"/>
      <c r="H3196" s="28"/>
    </row>
    <row r="3197" spans="4:8" s="25" customFormat="1" ht="11.25" customHeight="1">
      <c r="D3197" s="28"/>
      <c r="E3197" s="28"/>
      <c r="F3197" s="28"/>
      <c r="G3197" s="28"/>
      <c r="H3197" s="28"/>
    </row>
    <row r="3198" spans="4:8" s="25" customFormat="1" ht="11.25" customHeight="1">
      <c r="D3198" s="28"/>
      <c r="E3198" s="28"/>
      <c r="F3198" s="28"/>
      <c r="G3198" s="28"/>
      <c r="H3198" s="28"/>
    </row>
    <row r="3199" spans="4:8" s="25" customFormat="1" ht="11.25" customHeight="1">
      <c r="D3199" s="28"/>
      <c r="E3199" s="28"/>
      <c r="F3199" s="28"/>
      <c r="G3199" s="28"/>
      <c r="H3199" s="28"/>
    </row>
    <row r="3200" spans="4:8" s="25" customFormat="1" ht="11.25" customHeight="1">
      <c r="D3200" s="28"/>
      <c r="E3200" s="28"/>
      <c r="F3200" s="28"/>
      <c r="G3200" s="28"/>
      <c r="H3200" s="28"/>
    </row>
    <row r="3201" spans="4:8" s="25" customFormat="1" ht="11.25" customHeight="1">
      <c r="D3201" s="28"/>
      <c r="E3201" s="28"/>
      <c r="F3201" s="28"/>
      <c r="G3201" s="28"/>
      <c r="H3201" s="28"/>
    </row>
    <row r="3202" spans="4:8" s="25" customFormat="1" ht="11.25" customHeight="1">
      <c r="D3202" s="28"/>
      <c r="E3202" s="28"/>
      <c r="F3202" s="28"/>
      <c r="G3202" s="28"/>
      <c r="H3202" s="28"/>
    </row>
    <row r="3203" spans="4:8" s="25" customFormat="1" ht="11.25" customHeight="1">
      <c r="D3203" s="28"/>
      <c r="E3203" s="28"/>
      <c r="F3203" s="28"/>
      <c r="G3203" s="28"/>
      <c r="H3203" s="28"/>
    </row>
    <row r="3204" spans="4:8" s="25" customFormat="1" ht="11.25" customHeight="1">
      <c r="D3204" s="28"/>
      <c r="E3204" s="28"/>
      <c r="F3204" s="28"/>
      <c r="G3204" s="28"/>
      <c r="H3204" s="28"/>
    </row>
    <row r="3205" spans="4:8" s="25" customFormat="1" ht="11.25" customHeight="1">
      <c r="D3205" s="28"/>
      <c r="E3205" s="28"/>
      <c r="F3205" s="28"/>
      <c r="G3205" s="28"/>
      <c r="H3205" s="28"/>
    </row>
    <row r="3206" spans="4:8" s="25" customFormat="1" ht="11.25" customHeight="1">
      <c r="D3206" s="28"/>
      <c r="E3206" s="28"/>
      <c r="F3206" s="28"/>
      <c r="G3206" s="28"/>
      <c r="H3206" s="28"/>
    </row>
    <row r="3207" spans="4:8" s="25" customFormat="1" ht="11.25" customHeight="1">
      <c r="D3207" s="28"/>
      <c r="E3207" s="28"/>
      <c r="F3207" s="28"/>
      <c r="G3207" s="28"/>
      <c r="H3207" s="28"/>
    </row>
    <row r="3208" spans="4:8" s="25" customFormat="1" ht="11.25" customHeight="1">
      <c r="D3208" s="28"/>
      <c r="E3208" s="28"/>
      <c r="F3208" s="28"/>
      <c r="G3208" s="28"/>
      <c r="H3208" s="28"/>
    </row>
    <row r="3209" spans="4:8" s="25" customFormat="1" ht="11.25" customHeight="1">
      <c r="D3209" s="28"/>
      <c r="E3209" s="28"/>
      <c r="F3209" s="28"/>
      <c r="G3209" s="28"/>
      <c r="H3209" s="28"/>
    </row>
    <row r="3210" spans="4:8" s="25" customFormat="1" ht="11.25" customHeight="1">
      <c r="D3210" s="28"/>
      <c r="E3210" s="28"/>
      <c r="F3210" s="28"/>
      <c r="G3210" s="28"/>
      <c r="H3210" s="28"/>
    </row>
    <row r="3211" spans="4:8" s="25" customFormat="1" ht="11.25" customHeight="1">
      <c r="D3211" s="28"/>
      <c r="E3211" s="28"/>
      <c r="F3211" s="28"/>
      <c r="G3211" s="28"/>
      <c r="H3211" s="28"/>
    </row>
    <row r="3212" spans="4:8" s="25" customFormat="1" ht="11.25" customHeight="1">
      <c r="D3212" s="28"/>
      <c r="E3212" s="28"/>
      <c r="F3212" s="28"/>
      <c r="G3212" s="28"/>
      <c r="H3212" s="28"/>
    </row>
    <row r="3213" spans="4:8" s="25" customFormat="1" ht="11.25" customHeight="1">
      <c r="D3213" s="28"/>
      <c r="E3213" s="28"/>
      <c r="F3213" s="28"/>
      <c r="G3213" s="28"/>
      <c r="H3213" s="28"/>
    </row>
    <row r="3214" spans="4:8" s="25" customFormat="1" ht="11.25" customHeight="1">
      <c r="D3214" s="28"/>
      <c r="E3214" s="28"/>
      <c r="F3214" s="28"/>
      <c r="G3214" s="28"/>
      <c r="H3214" s="28"/>
    </row>
    <row r="3215" spans="4:8" s="25" customFormat="1" ht="11.25" customHeight="1">
      <c r="D3215" s="28"/>
      <c r="E3215" s="28"/>
      <c r="F3215" s="28"/>
      <c r="G3215" s="28"/>
      <c r="H3215" s="28"/>
    </row>
    <row r="3216" spans="4:8" s="25" customFormat="1" ht="11.25" customHeight="1">
      <c r="D3216" s="28"/>
      <c r="E3216" s="28"/>
      <c r="F3216" s="28"/>
      <c r="G3216" s="28"/>
      <c r="H3216" s="28"/>
    </row>
    <row r="3217" spans="4:8" s="25" customFormat="1" ht="11.25" customHeight="1">
      <c r="D3217" s="28"/>
      <c r="E3217" s="28"/>
      <c r="F3217" s="28"/>
      <c r="G3217" s="28"/>
      <c r="H3217" s="28"/>
    </row>
    <row r="3218" spans="4:8" s="25" customFormat="1" ht="11.25" customHeight="1">
      <c r="D3218" s="28"/>
      <c r="E3218" s="28"/>
      <c r="F3218" s="28"/>
      <c r="G3218" s="28"/>
      <c r="H3218" s="28"/>
    </row>
    <row r="3219" spans="4:8" s="25" customFormat="1" ht="11.25" customHeight="1">
      <c r="D3219" s="28"/>
      <c r="E3219" s="28"/>
      <c r="F3219" s="28"/>
      <c r="G3219" s="28"/>
      <c r="H3219" s="28"/>
    </row>
    <row r="3220" spans="4:8" s="25" customFormat="1" ht="11.25" customHeight="1">
      <c r="D3220" s="28"/>
      <c r="E3220" s="28"/>
      <c r="F3220" s="28"/>
      <c r="G3220" s="28"/>
      <c r="H3220" s="28"/>
    </row>
    <row r="3221" spans="4:8" s="25" customFormat="1" ht="11.25" customHeight="1">
      <c r="D3221" s="28"/>
      <c r="E3221" s="28"/>
      <c r="F3221" s="28"/>
      <c r="G3221" s="28"/>
      <c r="H3221" s="28"/>
    </row>
    <row r="3222" spans="4:8" s="25" customFormat="1" ht="11.25" customHeight="1">
      <c r="D3222" s="28"/>
      <c r="E3222" s="28"/>
      <c r="F3222" s="28"/>
      <c r="G3222" s="28"/>
      <c r="H3222" s="28"/>
    </row>
    <row r="3223" spans="4:8" s="25" customFormat="1" ht="11.25" customHeight="1">
      <c r="D3223" s="28"/>
      <c r="E3223" s="28"/>
      <c r="F3223" s="28"/>
      <c r="G3223" s="28"/>
      <c r="H3223" s="28"/>
    </row>
    <row r="3224" spans="4:8" s="25" customFormat="1" ht="11.25" customHeight="1">
      <c r="D3224" s="28"/>
      <c r="E3224" s="28"/>
      <c r="F3224" s="28"/>
      <c r="G3224" s="28"/>
      <c r="H3224" s="28"/>
    </row>
    <row r="3225" spans="4:8" s="25" customFormat="1" ht="11.25" customHeight="1">
      <c r="D3225" s="28"/>
      <c r="E3225" s="28"/>
      <c r="F3225" s="28"/>
      <c r="G3225" s="28"/>
      <c r="H3225" s="28"/>
    </row>
    <row r="3226" spans="4:8" s="25" customFormat="1" ht="11.25" customHeight="1">
      <c r="D3226" s="28"/>
      <c r="E3226" s="28"/>
      <c r="F3226" s="28"/>
      <c r="G3226" s="28"/>
      <c r="H3226" s="28"/>
    </row>
    <row r="3227" spans="4:8" s="25" customFormat="1" ht="11.25" customHeight="1">
      <c r="D3227" s="28"/>
      <c r="E3227" s="28"/>
      <c r="F3227" s="28"/>
      <c r="G3227" s="28"/>
      <c r="H3227" s="28"/>
    </row>
    <row r="3228" spans="4:8" s="25" customFormat="1" ht="11.25" customHeight="1">
      <c r="D3228" s="28"/>
      <c r="E3228" s="28"/>
      <c r="F3228" s="28"/>
      <c r="G3228" s="28"/>
      <c r="H3228" s="28"/>
    </row>
    <row r="3229" spans="4:8" s="25" customFormat="1" ht="11.25" customHeight="1">
      <c r="D3229" s="28"/>
      <c r="E3229" s="28"/>
      <c r="F3229" s="28"/>
      <c r="G3229" s="28"/>
      <c r="H3229" s="28"/>
    </row>
    <row r="3230" spans="4:8" s="25" customFormat="1" ht="11.25" customHeight="1">
      <c r="D3230" s="28"/>
      <c r="E3230" s="28"/>
      <c r="F3230" s="28"/>
      <c r="G3230" s="28"/>
      <c r="H3230" s="28"/>
    </row>
    <row r="3231" spans="4:8" s="25" customFormat="1" ht="11.25" customHeight="1">
      <c r="D3231" s="28"/>
      <c r="E3231" s="28"/>
      <c r="F3231" s="28"/>
      <c r="G3231" s="28"/>
      <c r="H3231" s="28"/>
    </row>
    <row r="3232" spans="4:8" s="25" customFormat="1" ht="11.25" customHeight="1">
      <c r="D3232" s="28"/>
      <c r="E3232" s="28"/>
      <c r="F3232" s="28"/>
      <c r="G3232" s="28"/>
      <c r="H3232" s="28"/>
    </row>
    <row r="3233" spans="4:8" s="25" customFormat="1" ht="11.25" customHeight="1">
      <c r="D3233" s="28"/>
      <c r="E3233" s="28"/>
      <c r="F3233" s="28"/>
      <c r="G3233" s="28"/>
      <c r="H3233" s="28"/>
    </row>
    <row r="3234" spans="4:8" s="25" customFormat="1" ht="11.25" customHeight="1">
      <c r="D3234" s="28"/>
      <c r="E3234" s="28"/>
      <c r="F3234" s="28"/>
      <c r="G3234" s="28"/>
      <c r="H3234" s="28"/>
    </row>
    <row r="3235" spans="4:8" s="25" customFormat="1" ht="11.25" customHeight="1">
      <c r="D3235" s="28"/>
      <c r="E3235" s="28"/>
      <c r="F3235" s="28"/>
      <c r="G3235" s="28"/>
      <c r="H3235" s="28"/>
    </row>
    <row r="3236" spans="4:8" s="25" customFormat="1" ht="11.25" customHeight="1">
      <c r="D3236" s="28"/>
      <c r="E3236" s="28"/>
      <c r="F3236" s="28"/>
      <c r="G3236" s="28"/>
      <c r="H3236" s="28"/>
    </row>
    <row r="3237" spans="4:8" s="25" customFormat="1" ht="11.25" customHeight="1">
      <c r="D3237" s="28"/>
      <c r="E3237" s="28"/>
      <c r="F3237" s="28"/>
      <c r="G3237" s="28"/>
      <c r="H3237" s="28"/>
    </row>
    <row r="3238" spans="4:8" s="25" customFormat="1" ht="11.25" customHeight="1">
      <c r="D3238" s="28"/>
      <c r="E3238" s="28"/>
      <c r="F3238" s="28"/>
      <c r="G3238" s="28"/>
      <c r="H3238" s="28"/>
    </row>
    <row r="3239" spans="4:8" s="25" customFormat="1" ht="11.25" customHeight="1">
      <c r="D3239" s="28"/>
      <c r="E3239" s="28"/>
      <c r="F3239" s="28"/>
      <c r="G3239" s="28"/>
      <c r="H3239" s="28"/>
    </row>
    <row r="3240" spans="4:8" s="25" customFormat="1" ht="11.25" customHeight="1">
      <c r="D3240" s="28"/>
      <c r="E3240" s="28"/>
      <c r="F3240" s="28"/>
      <c r="G3240" s="28"/>
      <c r="H3240" s="28"/>
    </row>
    <row r="3241" spans="4:8" s="25" customFormat="1" ht="11.25" customHeight="1">
      <c r="D3241" s="28"/>
      <c r="E3241" s="28"/>
      <c r="F3241" s="28"/>
      <c r="G3241" s="28"/>
      <c r="H3241" s="28"/>
    </row>
    <row r="3242" spans="4:8" s="25" customFormat="1" ht="11.25" customHeight="1">
      <c r="D3242" s="28"/>
      <c r="E3242" s="28"/>
      <c r="F3242" s="28"/>
      <c r="G3242" s="28"/>
      <c r="H3242" s="28"/>
    </row>
    <row r="3243" spans="4:8" s="25" customFormat="1" ht="11.25" customHeight="1">
      <c r="D3243" s="28"/>
      <c r="E3243" s="28"/>
      <c r="F3243" s="28"/>
      <c r="G3243" s="28"/>
      <c r="H3243" s="28"/>
    </row>
    <row r="3244" spans="4:8" s="25" customFormat="1" ht="11.25" customHeight="1">
      <c r="D3244" s="28"/>
      <c r="E3244" s="28"/>
      <c r="F3244" s="28"/>
      <c r="G3244" s="28"/>
      <c r="H3244" s="28"/>
    </row>
    <row r="3245" spans="4:8" s="25" customFormat="1" ht="11.25" customHeight="1">
      <c r="D3245" s="28"/>
      <c r="E3245" s="28"/>
      <c r="F3245" s="28"/>
      <c r="G3245" s="28"/>
      <c r="H3245" s="28"/>
    </row>
    <row r="3246" spans="4:8" s="25" customFormat="1" ht="11.25" customHeight="1">
      <c r="D3246" s="28"/>
      <c r="E3246" s="28"/>
      <c r="F3246" s="28"/>
      <c r="G3246" s="28"/>
      <c r="H3246" s="28"/>
    </row>
    <row r="3247" spans="4:8" s="25" customFormat="1" ht="11.25" customHeight="1">
      <c r="D3247" s="28"/>
      <c r="E3247" s="28"/>
      <c r="F3247" s="28"/>
      <c r="G3247" s="28"/>
      <c r="H3247" s="28"/>
    </row>
    <row r="3248" spans="4:8" s="25" customFormat="1" ht="11.25" customHeight="1">
      <c r="D3248" s="28"/>
      <c r="E3248" s="28"/>
      <c r="F3248" s="28"/>
      <c r="G3248" s="28"/>
      <c r="H3248" s="28"/>
    </row>
    <row r="3249" spans="4:8" s="25" customFormat="1" ht="11.25" customHeight="1">
      <c r="D3249" s="28"/>
      <c r="E3249" s="28"/>
      <c r="F3249" s="28"/>
      <c r="G3249" s="28"/>
      <c r="H3249" s="28"/>
    </row>
    <row r="3250" spans="4:8" s="25" customFormat="1" ht="11.25" customHeight="1">
      <c r="D3250" s="28"/>
      <c r="E3250" s="28"/>
      <c r="F3250" s="28"/>
      <c r="G3250" s="28"/>
      <c r="H3250" s="28"/>
    </row>
    <row r="3251" spans="4:8" s="25" customFormat="1" ht="11.25" customHeight="1">
      <c r="D3251" s="28"/>
      <c r="E3251" s="28"/>
      <c r="F3251" s="28"/>
      <c r="G3251" s="28"/>
      <c r="H3251" s="28"/>
    </row>
    <row r="3252" spans="4:8" s="25" customFormat="1" ht="11.25" customHeight="1">
      <c r="D3252" s="28"/>
      <c r="E3252" s="28"/>
      <c r="F3252" s="28"/>
      <c r="G3252" s="28"/>
      <c r="H3252" s="28"/>
    </row>
    <row r="3253" spans="4:8" s="25" customFormat="1" ht="11.25" customHeight="1">
      <c r="D3253" s="28"/>
      <c r="E3253" s="28"/>
      <c r="F3253" s="28"/>
      <c r="G3253" s="28"/>
      <c r="H3253" s="28"/>
    </row>
    <row r="3254" spans="4:8" s="25" customFormat="1" ht="11.25" customHeight="1">
      <c r="D3254" s="28"/>
      <c r="E3254" s="28"/>
      <c r="F3254" s="28"/>
      <c r="G3254" s="28"/>
      <c r="H3254" s="28"/>
    </row>
    <row r="3255" spans="4:8" s="25" customFormat="1" ht="11.25" customHeight="1">
      <c r="D3255" s="28"/>
      <c r="E3255" s="28"/>
      <c r="F3255" s="28"/>
      <c r="G3255" s="28"/>
      <c r="H3255" s="28"/>
    </row>
    <row r="3256" spans="4:8" s="25" customFormat="1" ht="11.25" customHeight="1">
      <c r="D3256" s="28"/>
      <c r="E3256" s="28"/>
      <c r="F3256" s="28"/>
      <c r="G3256" s="28"/>
      <c r="H3256" s="28"/>
    </row>
    <row r="3257" spans="4:8" s="25" customFormat="1" ht="11.25" customHeight="1">
      <c r="D3257" s="28"/>
      <c r="E3257" s="28"/>
      <c r="F3257" s="28"/>
      <c r="G3257" s="28"/>
      <c r="H3257" s="28"/>
    </row>
    <row r="3258" spans="4:8" s="25" customFormat="1" ht="11.25" customHeight="1">
      <c r="D3258" s="28"/>
      <c r="E3258" s="28"/>
      <c r="F3258" s="28"/>
      <c r="G3258" s="28"/>
      <c r="H3258" s="28"/>
    </row>
    <row r="3259" spans="4:8" s="25" customFormat="1" ht="11.25" customHeight="1">
      <c r="D3259" s="28"/>
      <c r="E3259" s="28"/>
      <c r="F3259" s="28"/>
      <c r="G3259" s="28"/>
      <c r="H3259" s="28"/>
    </row>
    <row r="3260" spans="4:8" s="25" customFormat="1" ht="11.25" customHeight="1">
      <c r="D3260" s="28"/>
      <c r="E3260" s="28"/>
      <c r="F3260" s="28"/>
      <c r="G3260" s="28"/>
      <c r="H3260" s="28"/>
    </row>
    <row r="3261" spans="4:8" s="25" customFormat="1" ht="11.25" customHeight="1">
      <c r="D3261" s="28"/>
      <c r="E3261" s="28"/>
      <c r="F3261" s="28"/>
      <c r="G3261" s="28"/>
      <c r="H3261" s="28"/>
    </row>
    <row r="3262" spans="4:8" s="25" customFormat="1" ht="11.25" customHeight="1">
      <c r="D3262" s="28"/>
      <c r="E3262" s="28"/>
      <c r="F3262" s="28"/>
      <c r="G3262" s="28"/>
      <c r="H3262" s="28"/>
    </row>
    <row r="3263" spans="4:8" s="25" customFormat="1" ht="11.25" customHeight="1">
      <c r="D3263" s="28"/>
      <c r="E3263" s="28"/>
      <c r="F3263" s="28"/>
      <c r="G3263" s="28"/>
      <c r="H3263" s="28"/>
    </row>
    <row r="3264" spans="4:8" s="25" customFormat="1" ht="11.25" customHeight="1">
      <c r="D3264" s="28"/>
      <c r="E3264" s="28"/>
      <c r="F3264" s="28"/>
      <c r="G3264" s="28"/>
      <c r="H3264" s="28"/>
    </row>
    <row r="3265" spans="4:8" s="25" customFormat="1" ht="11.25" customHeight="1">
      <c r="D3265" s="28"/>
      <c r="E3265" s="28"/>
      <c r="F3265" s="28"/>
      <c r="G3265" s="28"/>
      <c r="H3265" s="28"/>
    </row>
    <row r="3266" spans="4:8" s="25" customFormat="1" ht="11.25" customHeight="1">
      <c r="D3266" s="28"/>
      <c r="E3266" s="28"/>
      <c r="F3266" s="28"/>
      <c r="G3266" s="28"/>
      <c r="H3266" s="28"/>
    </row>
    <row r="3267" spans="4:8" s="25" customFormat="1" ht="11.25" customHeight="1">
      <c r="D3267" s="28"/>
      <c r="E3267" s="28"/>
      <c r="F3267" s="28"/>
      <c r="G3267" s="28"/>
      <c r="H3267" s="28"/>
    </row>
    <row r="3268" spans="4:8" s="25" customFormat="1" ht="11.25" customHeight="1">
      <c r="D3268" s="28"/>
      <c r="E3268" s="28"/>
      <c r="F3268" s="28"/>
      <c r="G3268" s="28"/>
      <c r="H3268" s="28"/>
    </row>
    <row r="3269" spans="4:8" s="25" customFormat="1" ht="11.25" customHeight="1">
      <c r="D3269" s="28"/>
      <c r="E3269" s="28"/>
      <c r="F3269" s="28"/>
      <c r="G3269" s="28"/>
      <c r="H3269" s="28"/>
    </row>
    <row r="3270" spans="4:8" s="25" customFormat="1" ht="11.25" customHeight="1">
      <c r="D3270" s="28"/>
      <c r="E3270" s="28"/>
      <c r="F3270" s="28"/>
      <c r="G3270" s="28"/>
      <c r="H3270" s="28"/>
    </row>
    <row r="3271" spans="4:8" s="25" customFormat="1" ht="11.25" customHeight="1">
      <c r="D3271" s="28"/>
      <c r="E3271" s="28"/>
      <c r="F3271" s="28"/>
      <c r="G3271" s="28"/>
      <c r="H3271" s="28"/>
    </row>
    <row r="3272" spans="4:8" s="25" customFormat="1" ht="11.25" customHeight="1">
      <c r="D3272" s="28"/>
      <c r="E3272" s="28"/>
      <c r="F3272" s="28"/>
      <c r="G3272" s="28"/>
      <c r="H3272" s="28"/>
    </row>
    <row r="3273" spans="4:8" s="25" customFormat="1" ht="11.25" customHeight="1">
      <c r="D3273" s="28"/>
      <c r="E3273" s="28"/>
      <c r="F3273" s="28"/>
      <c r="G3273" s="28"/>
      <c r="H3273" s="28"/>
    </row>
    <row r="3274" spans="4:8" s="25" customFormat="1" ht="11.25" customHeight="1">
      <c r="D3274" s="28"/>
      <c r="E3274" s="28"/>
      <c r="F3274" s="28"/>
      <c r="G3274" s="28"/>
      <c r="H3274" s="28"/>
    </row>
    <row r="3275" spans="4:8" s="25" customFormat="1" ht="11.25" customHeight="1">
      <c r="D3275" s="28"/>
      <c r="E3275" s="28"/>
      <c r="F3275" s="28"/>
      <c r="G3275" s="28"/>
      <c r="H3275" s="28"/>
    </row>
    <row r="3276" spans="4:8" s="25" customFormat="1" ht="11.25" customHeight="1">
      <c r="D3276" s="28"/>
      <c r="E3276" s="28"/>
      <c r="F3276" s="28"/>
      <c r="G3276" s="28"/>
      <c r="H3276" s="28"/>
    </row>
    <row r="3277" spans="4:8" s="25" customFormat="1" ht="11.25" customHeight="1">
      <c r="D3277" s="28"/>
      <c r="E3277" s="28"/>
      <c r="F3277" s="28"/>
      <c r="G3277" s="28"/>
      <c r="H3277" s="28"/>
    </row>
    <row r="3278" spans="4:8" s="25" customFormat="1" ht="11.25" customHeight="1">
      <c r="D3278" s="28"/>
      <c r="E3278" s="28"/>
      <c r="F3278" s="28"/>
      <c r="G3278" s="28"/>
      <c r="H3278" s="28"/>
    </row>
    <row r="3279" spans="4:8" s="25" customFormat="1" ht="11.25" customHeight="1">
      <c r="D3279" s="28"/>
      <c r="E3279" s="28"/>
      <c r="F3279" s="28"/>
      <c r="G3279" s="28"/>
      <c r="H3279" s="28"/>
    </row>
    <row r="3280" spans="4:8" s="25" customFormat="1" ht="11.25" customHeight="1">
      <c r="D3280" s="28"/>
      <c r="E3280" s="28"/>
      <c r="F3280" s="28"/>
      <c r="G3280" s="28"/>
      <c r="H3280" s="28"/>
    </row>
    <row r="3281" spans="4:8" s="25" customFormat="1" ht="11.25" customHeight="1">
      <c r="D3281" s="28"/>
      <c r="E3281" s="28"/>
      <c r="F3281" s="28"/>
      <c r="G3281" s="28"/>
      <c r="H3281" s="28"/>
    </row>
    <row r="3282" spans="4:8" s="25" customFormat="1" ht="11.25" customHeight="1">
      <c r="D3282" s="28"/>
      <c r="E3282" s="28"/>
      <c r="F3282" s="28"/>
      <c r="G3282" s="28"/>
      <c r="H3282" s="28"/>
    </row>
    <row r="3283" spans="4:8" s="25" customFormat="1" ht="11.25" customHeight="1">
      <c r="D3283" s="28"/>
      <c r="E3283" s="28"/>
      <c r="F3283" s="28"/>
      <c r="G3283" s="28"/>
      <c r="H3283" s="28"/>
    </row>
    <row r="3284" spans="4:8" s="25" customFormat="1" ht="11.25" customHeight="1">
      <c r="D3284" s="28"/>
      <c r="E3284" s="28"/>
      <c r="F3284" s="28"/>
      <c r="G3284" s="28"/>
      <c r="H3284" s="28"/>
    </row>
    <row r="3285" spans="4:8" s="25" customFormat="1" ht="11.25" customHeight="1">
      <c r="D3285" s="28"/>
      <c r="E3285" s="28"/>
      <c r="F3285" s="28"/>
      <c r="G3285" s="28"/>
      <c r="H3285" s="28"/>
    </row>
    <row r="3286" spans="4:8" s="25" customFormat="1" ht="11.25" customHeight="1">
      <c r="D3286" s="28"/>
      <c r="E3286" s="28"/>
      <c r="F3286" s="28"/>
      <c r="G3286" s="28"/>
      <c r="H3286" s="28"/>
    </row>
    <row r="3287" spans="4:8" s="25" customFormat="1" ht="11.25" customHeight="1">
      <c r="D3287" s="28"/>
      <c r="E3287" s="28"/>
      <c r="F3287" s="28"/>
      <c r="G3287" s="28"/>
      <c r="H3287" s="28"/>
    </row>
    <row r="3288" spans="4:8" s="25" customFormat="1" ht="11.25" customHeight="1">
      <c r="D3288" s="28"/>
      <c r="E3288" s="28"/>
      <c r="F3288" s="28"/>
      <c r="G3288" s="28"/>
      <c r="H3288" s="28"/>
    </row>
    <row r="3289" spans="4:8" s="25" customFormat="1" ht="11.25" customHeight="1">
      <c r="D3289" s="28"/>
      <c r="E3289" s="28"/>
      <c r="F3289" s="28"/>
      <c r="G3289" s="28"/>
      <c r="H3289" s="28"/>
    </row>
    <row r="3290" spans="4:8" s="25" customFormat="1" ht="11.25" customHeight="1">
      <c r="D3290" s="28"/>
      <c r="E3290" s="28"/>
      <c r="F3290" s="28"/>
      <c r="G3290" s="28"/>
      <c r="H3290" s="28"/>
    </row>
    <row r="3291" spans="4:8" s="25" customFormat="1" ht="11.25" customHeight="1">
      <c r="D3291" s="28"/>
      <c r="E3291" s="28"/>
      <c r="F3291" s="28"/>
      <c r="G3291" s="28"/>
      <c r="H3291" s="28"/>
    </row>
    <row r="3292" spans="4:8" s="25" customFormat="1" ht="11.25" customHeight="1">
      <c r="D3292" s="28"/>
      <c r="E3292" s="28"/>
      <c r="F3292" s="28"/>
      <c r="G3292" s="28"/>
      <c r="H3292" s="28"/>
    </row>
    <row r="3293" spans="4:8" s="25" customFormat="1" ht="11.25" customHeight="1">
      <c r="D3293" s="28"/>
      <c r="E3293" s="28"/>
      <c r="F3293" s="28"/>
      <c r="G3293" s="28"/>
      <c r="H3293" s="28"/>
    </row>
    <row r="3294" spans="4:8" s="25" customFormat="1" ht="11.25" customHeight="1">
      <c r="D3294" s="28"/>
      <c r="E3294" s="28"/>
      <c r="F3294" s="28"/>
      <c r="G3294" s="28"/>
      <c r="H3294" s="28"/>
    </row>
    <row r="3295" spans="4:8" s="25" customFormat="1" ht="11.25" customHeight="1">
      <c r="D3295" s="28"/>
      <c r="E3295" s="28"/>
      <c r="F3295" s="28"/>
      <c r="G3295" s="28"/>
      <c r="H3295" s="28"/>
    </row>
    <row r="3296" spans="4:8" s="25" customFormat="1" ht="11.25" customHeight="1">
      <c r="D3296" s="28"/>
      <c r="E3296" s="28"/>
      <c r="F3296" s="28"/>
      <c r="G3296" s="28"/>
      <c r="H3296" s="28"/>
    </row>
    <row r="3297" spans="4:8" s="25" customFormat="1" ht="11.25" customHeight="1">
      <c r="D3297" s="28"/>
      <c r="E3297" s="28"/>
      <c r="F3297" s="28"/>
      <c r="G3297" s="28"/>
      <c r="H3297" s="28"/>
    </row>
    <row r="3298" spans="4:8" s="25" customFormat="1" ht="11.25" customHeight="1">
      <c r="D3298" s="28"/>
      <c r="E3298" s="28"/>
      <c r="F3298" s="28"/>
      <c r="G3298" s="28"/>
      <c r="H3298" s="28"/>
    </row>
    <row r="3299" spans="4:8" s="25" customFormat="1" ht="11.25" customHeight="1">
      <c r="D3299" s="28"/>
      <c r="E3299" s="28"/>
      <c r="F3299" s="28"/>
      <c r="G3299" s="28"/>
      <c r="H3299" s="28"/>
    </row>
    <row r="3300" spans="4:8" s="25" customFormat="1" ht="11.25" customHeight="1">
      <c r="D3300" s="28"/>
      <c r="E3300" s="28"/>
      <c r="F3300" s="28"/>
      <c r="G3300" s="28"/>
      <c r="H3300" s="28"/>
    </row>
    <row r="3301" spans="4:8" s="25" customFormat="1" ht="11.25" customHeight="1">
      <c r="D3301" s="28"/>
      <c r="E3301" s="28"/>
      <c r="F3301" s="28"/>
      <c r="G3301" s="28"/>
      <c r="H3301" s="28"/>
    </row>
    <row r="3302" spans="4:8" s="25" customFormat="1" ht="11.25" customHeight="1">
      <c r="D3302" s="28"/>
      <c r="E3302" s="28"/>
      <c r="F3302" s="28"/>
      <c r="G3302" s="28"/>
      <c r="H3302" s="28"/>
    </row>
    <row r="3303" spans="4:8" s="25" customFormat="1" ht="11.25" customHeight="1">
      <c r="D3303" s="28"/>
      <c r="E3303" s="28"/>
      <c r="F3303" s="28"/>
      <c r="G3303" s="28"/>
      <c r="H3303" s="28"/>
    </row>
    <row r="3304" spans="4:8" s="25" customFormat="1" ht="11.25" customHeight="1">
      <c r="D3304" s="28"/>
      <c r="E3304" s="28"/>
      <c r="F3304" s="28"/>
      <c r="G3304" s="28"/>
      <c r="H3304" s="28"/>
    </row>
    <row r="3305" spans="4:8" s="25" customFormat="1" ht="11.25" customHeight="1">
      <c r="D3305" s="28"/>
      <c r="E3305" s="28"/>
      <c r="F3305" s="28"/>
      <c r="G3305" s="28"/>
      <c r="H3305" s="28"/>
    </row>
    <row r="3306" spans="4:8" s="25" customFormat="1" ht="11.25" customHeight="1">
      <c r="D3306" s="28"/>
      <c r="E3306" s="28"/>
      <c r="F3306" s="28"/>
      <c r="G3306" s="28"/>
      <c r="H3306" s="28"/>
    </row>
    <row r="3307" spans="4:8" s="25" customFormat="1" ht="11.25" customHeight="1">
      <c r="D3307" s="28"/>
      <c r="E3307" s="28"/>
      <c r="F3307" s="28"/>
      <c r="G3307" s="28"/>
      <c r="H3307" s="28"/>
    </row>
    <row r="3308" spans="4:8" s="25" customFormat="1" ht="11.25" customHeight="1">
      <c r="D3308" s="28"/>
      <c r="E3308" s="28"/>
      <c r="F3308" s="28"/>
      <c r="G3308" s="28"/>
      <c r="H3308" s="28"/>
    </row>
    <row r="3309" spans="4:8" s="25" customFormat="1" ht="11.25" customHeight="1">
      <c r="D3309" s="28"/>
      <c r="E3309" s="28"/>
      <c r="F3309" s="28"/>
      <c r="G3309" s="28"/>
      <c r="H3309" s="28"/>
    </row>
    <row r="3310" spans="4:8" s="25" customFormat="1" ht="11.25" customHeight="1">
      <c r="D3310" s="28"/>
      <c r="E3310" s="28"/>
      <c r="F3310" s="28"/>
      <c r="G3310" s="28"/>
      <c r="H3310" s="28"/>
    </row>
    <row r="3311" spans="4:8" s="25" customFormat="1" ht="11.25" customHeight="1">
      <c r="D3311" s="28"/>
      <c r="E3311" s="28"/>
      <c r="F3311" s="28"/>
      <c r="G3311" s="28"/>
      <c r="H3311" s="28"/>
    </row>
    <row r="3312" spans="4:8" s="25" customFormat="1" ht="11.25" customHeight="1">
      <c r="D3312" s="28"/>
      <c r="E3312" s="28"/>
      <c r="F3312" s="28"/>
      <c r="G3312" s="28"/>
      <c r="H3312" s="28"/>
    </row>
    <row r="3313" spans="4:8" s="25" customFormat="1" ht="11.25" customHeight="1">
      <c r="D3313" s="28"/>
      <c r="E3313" s="28"/>
      <c r="F3313" s="28"/>
      <c r="G3313" s="28"/>
      <c r="H3313" s="28"/>
    </row>
    <row r="3314" spans="4:8" s="25" customFormat="1" ht="11.25" customHeight="1">
      <c r="D3314" s="28"/>
      <c r="E3314" s="28"/>
      <c r="F3314" s="28"/>
      <c r="G3314" s="28"/>
      <c r="H3314" s="28"/>
    </row>
    <row r="3315" spans="4:8" s="25" customFormat="1" ht="11.25" customHeight="1">
      <c r="D3315" s="28"/>
      <c r="E3315" s="28"/>
      <c r="F3315" s="28"/>
      <c r="G3315" s="28"/>
      <c r="H3315" s="28"/>
    </row>
    <row r="3316" spans="4:8" s="25" customFormat="1" ht="11.25" customHeight="1">
      <c r="D3316" s="28"/>
      <c r="E3316" s="28"/>
      <c r="F3316" s="28"/>
      <c r="G3316" s="28"/>
      <c r="H3316" s="28"/>
    </row>
    <row r="3317" spans="4:8" s="25" customFormat="1" ht="11.25" customHeight="1">
      <c r="D3317" s="28"/>
      <c r="E3317" s="28"/>
      <c r="F3317" s="28"/>
      <c r="G3317" s="28"/>
      <c r="H3317" s="28"/>
    </row>
    <row r="3318" spans="4:8" s="25" customFormat="1" ht="11.25" customHeight="1">
      <c r="D3318" s="28"/>
      <c r="E3318" s="28"/>
      <c r="F3318" s="28"/>
      <c r="G3318" s="28"/>
      <c r="H3318" s="28"/>
    </row>
    <row r="3319" spans="4:8" s="25" customFormat="1" ht="11.25" customHeight="1">
      <c r="D3319" s="28"/>
      <c r="E3319" s="28"/>
      <c r="F3319" s="28"/>
      <c r="G3319" s="28"/>
      <c r="H3319" s="28"/>
    </row>
    <row r="3320" spans="4:8" s="25" customFormat="1" ht="11.25" customHeight="1">
      <c r="D3320" s="28"/>
      <c r="E3320" s="28"/>
      <c r="F3320" s="28"/>
      <c r="G3320" s="28"/>
      <c r="H3320" s="28"/>
    </row>
    <row r="3321" spans="4:8" s="25" customFormat="1" ht="11.25" customHeight="1">
      <c r="D3321" s="28"/>
      <c r="E3321" s="28"/>
      <c r="F3321" s="28"/>
      <c r="G3321" s="28"/>
      <c r="H3321" s="28"/>
    </row>
    <row r="3322" spans="4:8" s="25" customFormat="1" ht="11.25" customHeight="1">
      <c r="D3322" s="28"/>
      <c r="E3322" s="28"/>
      <c r="F3322" s="28"/>
      <c r="G3322" s="28"/>
      <c r="H3322" s="28"/>
    </row>
    <row r="3323" spans="4:8" s="25" customFormat="1" ht="11.25" customHeight="1">
      <c r="D3323" s="28"/>
      <c r="E3323" s="28"/>
      <c r="F3323" s="28"/>
      <c r="G3323" s="28"/>
      <c r="H3323" s="28"/>
    </row>
    <row r="3324" spans="4:8" s="25" customFormat="1" ht="11.25" customHeight="1">
      <c r="D3324" s="28"/>
      <c r="E3324" s="28"/>
      <c r="F3324" s="28"/>
      <c r="G3324" s="28"/>
      <c r="H3324" s="28"/>
    </row>
    <row r="3325" spans="4:8" s="25" customFormat="1" ht="11.25" customHeight="1">
      <c r="D3325" s="28"/>
      <c r="E3325" s="28"/>
      <c r="F3325" s="28"/>
      <c r="G3325" s="28"/>
      <c r="H3325" s="28"/>
    </row>
    <row r="3326" spans="4:8" s="25" customFormat="1" ht="11.25" customHeight="1">
      <c r="D3326" s="28"/>
      <c r="E3326" s="28"/>
      <c r="F3326" s="28"/>
      <c r="G3326" s="28"/>
      <c r="H3326" s="28"/>
    </row>
    <row r="3327" spans="4:8" s="25" customFormat="1" ht="11.25" customHeight="1">
      <c r="D3327" s="28"/>
      <c r="E3327" s="28"/>
      <c r="F3327" s="28"/>
      <c r="G3327" s="28"/>
      <c r="H3327" s="28"/>
    </row>
    <row r="3328" spans="4:8" s="25" customFormat="1" ht="11.25" customHeight="1">
      <c r="D3328" s="28"/>
      <c r="E3328" s="28"/>
      <c r="F3328" s="28"/>
      <c r="G3328" s="28"/>
      <c r="H3328" s="28"/>
    </row>
    <row r="3329" spans="4:8" s="25" customFormat="1" ht="11.25" customHeight="1">
      <c r="D3329" s="28"/>
      <c r="E3329" s="28"/>
      <c r="F3329" s="28"/>
      <c r="G3329" s="28"/>
      <c r="H3329" s="28"/>
    </row>
    <row r="3330" spans="4:8" s="25" customFormat="1" ht="11.25" customHeight="1">
      <c r="D3330" s="28"/>
      <c r="E3330" s="28"/>
      <c r="F3330" s="28"/>
      <c r="G3330" s="28"/>
      <c r="H3330" s="28"/>
    </row>
    <row r="3331" spans="4:8" s="25" customFormat="1" ht="11.25" customHeight="1">
      <c r="D3331" s="28"/>
      <c r="E3331" s="28"/>
      <c r="F3331" s="28"/>
      <c r="G3331" s="28"/>
      <c r="H3331" s="28"/>
    </row>
    <row r="3332" spans="4:8" s="25" customFormat="1" ht="11.25" customHeight="1">
      <c r="D3332" s="28"/>
      <c r="E3332" s="28"/>
      <c r="F3332" s="28"/>
      <c r="G3332" s="28"/>
      <c r="H3332" s="28"/>
    </row>
    <row r="3333" spans="4:8" s="25" customFormat="1" ht="11.25" customHeight="1">
      <c r="D3333" s="28"/>
      <c r="E3333" s="28"/>
      <c r="F3333" s="28"/>
      <c r="G3333" s="28"/>
      <c r="H3333" s="28"/>
    </row>
    <row r="3334" spans="4:8" s="25" customFormat="1" ht="11.25" customHeight="1">
      <c r="D3334" s="28"/>
      <c r="E3334" s="28"/>
      <c r="F3334" s="28"/>
      <c r="G3334" s="28"/>
      <c r="H3334" s="28"/>
    </row>
    <row r="3335" spans="4:8" s="25" customFormat="1" ht="11.25" customHeight="1">
      <c r="D3335" s="28"/>
      <c r="E3335" s="28"/>
      <c r="F3335" s="28"/>
      <c r="G3335" s="28"/>
      <c r="H3335" s="28"/>
    </row>
    <row r="3336" spans="4:8" s="25" customFormat="1" ht="11.25" customHeight="1">
      <c r="D3336" s="28"/>
      <c r="E3336" s="28"/>
      <c r="F3336" s="28"/>
      <c r="G3336" s="28"/>
      <c r="H3336" s="28"/>
    </row>
    <row r="3337" spans="4:8" s="25" customFormat="1" ht="11.25" customHeight="1">
      <c r="D3337" s="28"/>
      <c r="E3337" s="28"/>
      <c r="F3337" s="28"/>
      <c r="G3337" s="28"/>
      <c r="H3337" s="28"/>
    </row>
    <row r="3338" spans="4:8" s="25" customFormat="1" ht="11.25" customHeight="1">
      <c r="D3338" s="28"/>
      <c r="E3338" s="28"/>
      <c r="F3338" s="28"/>
      <c r="G3338" s="28"/>
      <c r="H3338" s="28"/>
    </row>
    <row r="3339" spans="4:8" s="25" customFormat="1" ht="11.25" customHeight="1">
      <c r="D3339" s="28"/>
      <c r="E3339" s="28"/>
      <c r="F3339" s="28"/>
      <c r="G3339" s="28"/>
      <c r="H3339" s="28"/>
    </row>
    <row r="3340" spans="4:8" s="25" customFormat="1" ht="11.25" customHeight="1">
      <c r="D3340" s="28"/>
      <c r="E3340" s="28"/>
      <c r="F3340" s="28"/>
      <c r="G3340" s="28"/>
      <c r="H3340" s="28"/>
    </row>
    <row r="3341" spans="4:8" s="25" customFormat="1" ht="11.25" customHeight="1">
      <c r="D3341" s="28"/>
      <c r="E3341" s="28"/>
      <c r="F3341" s="28"/>
      <c r="G3341" s="28"/>
      <c r="H3341" s="28"/>
    </row>
    <row r="3342" spans="4:8" s="25" customFormat="1" ht="11.25" customHeight="1">
      <c r="D3342" s="28"/>
      <c r="E3342" s="28"/>
      <c r="F3342" s="28"/>
      <c r="G3342" s="28"/>
      <c r="H3342" s="28"/>
    </row>
    <row r="3343" spans="4:8" s="25" customFormat="1" ht="11.25" customHeight="1">
      <c r="D3343" s="28"/>
      <c r="E3343" s="28"/>
      <c r="F3343" s="28"/>
      <c r="G3343" s="28"/>
      <c r="H3343" s="28"/>
    </row>
    <row r="3344" spans="4:8" s="25" customFormat="1" ht="11.25" customHeight="1">
      <c r="D3344" s="28"/>
      <c r="E3344" s="28"/>
      <c r="F3344" s="28"/>
      <c r="G3344" s="28"/>
      <c r="H3344" s="28"/>
    </row>
    <row r="3345" spans="4:8" s="25" customFormat="1" ht="11.25" customHeight="1">
      <c r="D3345" s="28"/>
      <c r="E3345" s="28"/>
      <c r="F3345" s="28"/>
      <c r="G3345" s="28"/>
      <c r="H3345" s="28"/>
    </row>
    <row r="3346" spans="4:8" s="25" customFormat="1" ht="11.25" customHeight="1">
      <c r="D3346" s="28"/>
      <c r="E3346" s="28"/>
      <c r="F3346" s="28"/>
      <c r="G3346" s="28"/>
      <c r="H3346" s="28"/>
    </row>
    <row r="3347" spans="4:8" s="25" customFormat="1" ht="11.25" customHeight="1">
      <c r="D3347" s="28"/>
      <c r="E3347" s="28"/>
      <c r="F3347" s="28"/>
      <c r="G3347" s="28"/>
      <c r="H3347" s="28"/>
    </row>
    <row r="3348" spans="4:8" s="25" customFormat="1" ht="11.25" customHeight="1">
      <c r="D3348" s="28"/>
      <c r="E3348" s="28"/>
      <c r="F3348" s="28"/>
      <c r="G3348" s="28"/>
      <c r="H3348" s="28"/>
    </row>
    <row r="3349" spans="4:8" s="25" customFormat="1" ht="11.25" customHeight="1">
      <c r="D3349" s="28"/>
      <c r="E3349" s="28"/>
      <c r="F3349" s="28"/>
      <c r="G3349" s="28"/>
      <c r="H3349" s="28"/>
    </row>
    <row r="3350" spans="4:8" s="25" customFormat="1" ht="11.25" customHeight="1">
      <c r="D3350" s="28"/>
      <c r="E3350" s="28"/>
      <c r="F3350" s="28"/>
      <c r="G3350" s="28"/>
      <c r="H3350" s="28"/>
    </row>
    <row r="3351" spans="4:8" s="25" customFormat="1" ht="11.25" customHeight="1">
      <c r="D3351" s="28"/>
      <c r="E3351" s="28"/>
      <c r="F3351" s="28"/>
      <c r="G3351" s="28"/>
      <c r="H3351" s="28"/>
    </row>
    <row r="3352" spans="4:8" s="25" customFormat="1" ht="11.25" customHeight="1">
      <c r="D3352" s="28"/>
      <c r="E3352" s="28"/>
      <c r="F3352" s="28"/>
      <c r="G3352" s="28"/>
      <c r="H3352" s="28"/>
    </row>
    <row r="3353" spans="4:8" s="25" customFormat="1" ht="11.25" customHeight="1">
      <c r="D3353" s="28"/>
      <c r="E3353" s="28"/>
      <c r="F3353" s="28"/>
      <c r="G3353" s="28"/>
      <c r="H3353" s="28"/>
    </row>
    <row r="3354" spans="4:8" s="25" customFormat="1" ht="11.25" customHeight="1">
      <c r="D3354" s="28"/>
      <c r="E3354" s="28"/>
      <c r="F3354" s="28"/>
      <c r="G3354" s="28"/>
      <c r="H3354" s="28"/>
    </row>
    <row r="3355" spans="4:8" s="25" customFormat="1" ht="11.25" customHeight="1">
      <c r="D3355" s="28"/>
      <c r="E3355" s="28"/>
      <c r="F3355" s="28"/>
      <c r="G3355" s="28"/>
      <c r="H3355" s="28"/>
    </row>
    <row r="3356" spans="4:8" s="25" customFormat="1" ht="11.25" customHeight="1">
      <c r="D3356" s="28"/>
      <c r="E3356" s="28"/>
      <c r="F3356" s="28"/>
      <c r="G3356" s="28"/>
      <c r="H3356" s="28"/>
    </row>
    <row r="3357" spans="4:8" s="25" customFormat="1" ht="11.25" customHeight="1">
      <c r="D3357" s="28"/>
      <c r="E3357" s="28"/>
      <c r="F3357" s="28"/>
      <c r="G3357" s="28"/>
      <c r="H3357" s="28"/>
    </row>
    <row r="3358" spans="4:8" s="25" customFormat="1" ht="11.25" customHeight="1">
      <c r="D3358" s="28"/>
      <c r="E3358" s="28"/>
      <c r="F3358" s="28"/>
      <c r="G3358" s="28"/>
      <c r="H3358" s="28"/>
    </row>
    <row r="3359" spans="4:8" s="25" customFormat="1" ht="11.25" customHeight="1">
      <c r="D3359" s="28"/>
      <c r="E3359" s="28"/>
      <c r="F3359" s="28"/>
      <c r="G3359" s="28"/>
      <c r="H3359" s="28"/>
    </row>
    <row r="3360" spans="4:8" s="25" customFormat="1" ht="11.25" customHeight="1">
      <c r="D3360" s="28"/>
      <c r="E3360" s="28"/>
      <c r="F3360" s="28"/>
      <c r="G3360" s="28"/>
      <c r="H3360" s="28"/>
    </row>
    <row r="3361" spans="4:8" s="25" customFormat="1" ht="11.25" customHeight="1">
      <c r="D3361" s="28"/>
      <c r="E3361" s="28"/>
      <c r="F3361" s="28"/>
      <c r="G3361" s="28"/>
      <c r="H3361" s="28"/>
    </row>
    <row r="3362" spans="4:8" s="25" customFormat="1" ht="11.25" customHeight="1">
      <c r="D3362" s="28"/>
      <c r="E3362" s="28"/>
      <c r="F3362" s="28"/>
      <c r="G3362" s="28"/>
      <c r="H3362" s="28"/>
    </row>
    <row r="3363" spans="4:8" s="25" customFormat="1" ht="11.25" customHeight="1">
      <c r="D3363" s="28"/>
      <c r="E3363" s="28"/>
      <c r="F3363" s="28"/>
      <c r="G3363" s="28"/>
      <c r="H3363" s="28"/>
    </row>
    <row r="3364" spans="4:8" s="25" customFormat="1" ht="11.25" customHeight="1">
      <c r="D3364" s="28"/>
      <c r="E3364" s="28"/>
      <c r="F3364" s="28"/>
      <c r="G3364" s="28"/>
      <c r="H3364" s="28"/>
    </row>
    <row r="3365" spans="4:8" s="25" customFormat="1" ht="11.25" customHeight="1">
      <c r="D3365" s="28"/>
      <c r="E3365" s="28"/>
      <c r="F3365" s="28"/>
      <c r="G3365" s="28"/>
      <c r="H3365" s="28"/>
    </row>
    <row r="3366" spans="4:8" s="25" customFormat="1" ht="11.25" customHeight="1">
      <c r="D3366" s="28"/>
      <c r="E3366" s="28"/>
      <c r="F3366" s="28"/>
      <c r="G3366" s="28"/>
      <c r="H3366" s="28"/>
    </row>
    <row r="3367" spans="4:8" s="25" customFormat="1" ht="11.25" customHeight="1">
      <c r="D3367" s="28"/>
      <c r="E3367" s="28"/>
      <c r="F3367" s="28"/>
      <c r="G3367" s="28"/>
      <c r="H3367" s="28"/>
    </row>
    <row r="3368" spans="4:8" s="25" customFormat="1" ht="11.25" customHeight="1">
      <c r="D3368" s="28"/>
      <c r="E3368" s="28"/>
      <c r="F3368" s="28"/>
      <c r="G3368" s="28"/>
      <c r="H3368" s="28"/>
    </row>
    <row r="3369" spans="4:8" s="25" customFormat="1" ht="11.25" customHeight="1">
      <c r="D3369" s="28"/>
      <c r="E3369" s="28"/>
      <c r="F3369" s="28"/>
      <c r="G3369" s="28"/>
      <c r="H3369" s="28"/>
    </row>
    <row r="3370" spans="4:8" s="25" customFormat="1" ht="11.25" customHeight="1">
      <c r="D3370" s="28"/>
      <c r="E3370" s="28"/>
      <c r="F3370" s="28"/>
      <c r="G3370" s="28"/>
      <c r="H3370" s="28"/>
    </row>
    <row r="3371" spans="4:8" s="25" customFormat="1" ht="11.25" customHeight="1">
      <c r="D3371" s="28"/>
      <c r="E3371" s="28"/>
      <c r="F3371" s="28"/>
      <c r="G3371" s="28"/>
      <c r="H3371" s="28"/>
    </row>
    <row r="3372" spans="4:8" s="25" customFormat="1" ht="11.25" customHeight="1">
      <c r="D3372" s="28"/>
      <c r="E3372" s="28"/>
      <c r="F3372" s="28"/>
      <c r="G3372" s="28"/>
      <c r="H3372" s="28"/>
    </row>
    <row r="3373" spans="4:8" s="25" customFormat="1" ht="11.25" customHeight="1">
      <c r="D3373" s="28"/>
      <c r="E3373" s="28"/>
      <c r="F3373" s="28"/>
      <c r="G3373" s="28"/>
      <c r="H3373" s="28"/>
    </row>
    <row r="3374" spans="4:8" s="25" customFormat="1" ht="11.25" customHeight="1">
      <c r="D3374" s="28"/>
      <c r="E3374" s="28"/>
      <c r="F3374" s="28"/>
      <c r="G3374" s="28"/>
      <c r="H3374" s="28"/>
    </row>
    <row r="3375" spans="4:8" s="25" customFormat="1" ht="11.25" customHeight="1">
      <c r="D3375" s="28"/>
      <c r="E3375" s="28"/>
      <c r="F3375" s="28"/>
      <c r="G3375" s="28"/>
      <c r="H3375" s="28"/>
    </row>
    <row r="3376" spans="4:8" s="25" customFormat="1" ht="11.25" customHeight="1">
      <c r="D3376" s="28"/>
      <c r="E3376" s="28"/>
      <c r="F3376" s="28"/>
      <c r="G3376" s="28"/>
      <c r="H3376" s="28"/>
    </row>
    <row r="3377" spans="4:8" s="25" customFormat="1" ht="11.25" customHeight="1">
      <c r="D3377" s="28"/>
      <c r="E3377" s="28"/>
      <c r="F3377" s="28"/>
      <c r="G3377" s="28"/>
      <c r="H3377" s="28"/>
    </row>
    <row r="3378" spans="4:8" s="25" customFormat="1" ht="11.25" customHeight="1">
      <c r="D3378" s="28"/>
      <c r="E3378" s="28"/>
      <c r="F3378" s="28"/>
      <c r="G3378" s="28"/>
      <c r="H3378" s="28"/>
    </row>
    <row r="3379" spans="4:8" s="25" customFormat="1" ht="11.25" customHeight="1">
      <c r="D3379" s="28"/>
      <c r="E3379" s="28"/>
      <c r="F3379" s="28"/>
      <c r="G3379" s="28"/>
      <c r="H3379" s="28"/>
    </row>
    <row r="3380" spans="4:8" s="25" customFormat="1" ht="11.25" customHeight="1">
      <c r="D3380" s="28"/>
      <c r="E3380" s="28"/>
      <c r="F3380" s="28"/>
      <c r="G3380" s="28"/>
      <c r="H3380" s="28"/>
    </row>
    <row r="3381" spans="4:8" s="25" customFormat="1" ht="11.25" customHeight="1">
      <c r="D3381" s="28"/>
      <c r="E3381" s="28"/>
      <c r="F3381" s="28"/>
      <c r="G3381" s="28"/>
      <c r="H3381" s="28"/>
    </row>
    <row r="3382" spans="4:8" s="25" customFormat="1" ht="11.25" customHeight="1">
      <c r="D3382" s="28"/>
      <c r="E3382" s="28"/>
      <c r="F3382" s="28"/>
      <c r="G3382" s="28"/>
      <c r="H3382" s="28"/>
    </row>
    <row r="3383" spans="4:8" s="25" customFormat="1" ht="11.25" customHeight="1">
      <c r="D3383" s="28"/>
      <c r="E3383" s="28"/>
      <c r="F3383" s="28"/>
      <c r="G3383" s="28"/>
      <c r="H3383" s="28"/>
    </row>
    <row r="3384" spans="4:8" s="25" customFormat="1" ht="11.25" customHeight="1">
      <c r="D3384" s="28"/>
      <c r="E3384" s="28"/>
      <c r="F3384" s="28"/>
      <c r="G3384" s="28"/>
      <c r="H3384" s="28"/>
    </row>
    <row r="3385" spans="4:8" s="25" customFormat="1" ht="11.25" customHeight="1">
      <c r="D3385" s="28"/>
      <c r="E3385" s="28"/>
      <c r="F3385" s="28"/>
      <c r="G3385" s="28"/>
      <c r="H3385" s="28"/>
    </row>
    <row r="3386" spans="4:8" s="25" customFormat="1" ht="11.25" customHeight="1">
      <c r="D3386" s="28"/>
      <c r="E3386" s="28"/>
      <c r="F3386" s="28"/>
      <c r="G3386" s="28"/>
      <c r="H3386" s="28"/>
    </row>
    <row r="3387" spans="4:8" s="25" customFormat="1" ht="11.25" customHeight="1">
      <c r="D3387" s="28"/>
      <c r="E3387" s="28"/>
      <c r="F3387" s="28"/>
      <c r="G3387" s="28"/>
      <c r="H3387" s="28"/>
    </row>
    <row r="3388" spans="4:8" s="25" customFormat="1" ht="11.25" customHeight="1">
      <c r="D3388" s="28"/>
      <c r="E3388" s="28"/>
      <c r="F3388" s="28"/>
      <c r="G3388" s="28"/>
      <c r="H3388" s="28"/>
    </row>
    <row r="3389" spans="4:8" s="25" customFormat="1" ht="11.25" customHeight="1">
      <c r="D3389" s="28"/>
      <c r="E3389" s="28"/>
      <c r="F3389" s="28"/>
      <c r="G3389" s="28"/>
      <c r="H3389" s="28"/>
    </row>
    <row r="3390" spans="4:8" s="25" customFormat="1" ht="11.25" customHeight="1">
      <c r="D3390" s="28"/>
      <c r="E3390" s="28"/>
      <c r="F3390" s="28"/>
      <c r="G3390" s="28"/>
      <c r="H3390" s="28"/>
    </row>
    <row r="3391" spans="4:8" s="25" customFormat="1" ht="11.25" customHeight="1">
      <c r="D3391" s="28"/>
      <c r="E3391" s="28"/>
      <c r="F3391" s="28"/>
      <c r="G3391" s="28"/>
      <c r="H3391" s="28"/>
    </row>
    <row r="3392" spans="4:8" s="25" customFormat="1" ht="11.25" customHeight="1">
      <c r="D3392" s="28"/>
      <c r="E3392" s="28"/>
      <c r="F3392" s="28"/>
      <c r="G3392" s="28"/>
      <c r="H3392" s="28"/>
    </row>
    <row r="3393" spans="4:8" s="25" customFormat="1" ht="11.25" customHeight="1">
      <c r="D3393" s="28"/>
      <c r="E3393" s="28"/>
      <c r="F3393" s="28"/>
      <c r="G3393" s="28"/>
      <c r="H3393" s="28"/>
    </row>
    <row r="3394" spans="4:8" s="25" customFormat="1" ht="11.25" customHeight="1">
      <c r="D3394" s="28"/>
      <c r="E3394" s="28"/>
      <c r="F3394" s="28"/>
      <c r="G3394" s="28"/>
      <c r="H3394" s="28"/>
    </row>
    <row r="3395" spans="4:8" s="25" customFormat="1" ht="11.25" customHeight="1">
      <c r="D3395" s="28"/>
      <c r="E3395" s="28"/>
      <c r="F3395" s="28"/>
      <c r="G3395" s="28"/>
      <c r="H3395" s="28"/>
    </row>
    <row r="3396" spans="4:8" s="25" customFormat="1" ht="11.25" customHeight="1">
      <c r="D3396" s="28"/>
      <c r="E3396" s="28"/>
      <c r="F3396" s="28"/>
      <c r="G3396" s="28"/>
      <c r="H3396" s="28"/>
    </row>
    <row r="3397" spans="4:8" s="25" customFormat="1" ht="11.25" customHeight="1">
      <c r="D3397" s="28"/>
      <c r="E3397" s="28"/>
      <c r="F3397" s="28"/>
      <c r="G3397" s="28"/>
      <c r="H3397" s="28"/>
    </row>
    <row r="3398" spans="4:8" s="25" customFormat="1" ht="11.25" customHeight="1">
      <c r="D3398" s="28"/>
      <c r="E3398" s="28"/>
      <c r="F3398" s="28"/>
      <c r="G3398" s="28"/>
      <c r="H3398" s="28"/>
    </row>
    <row r="3399" spans="4:8" s="25" customFormat="1" ht="11.25" customHeight="1">
      <c r="D3399" s="28"/>
      <c r="E3399" s="28"/>
      <c r="F3399" s="28"/>
      <c r="G3399" s="28"/>
      <c r="H3399" s="28"/>
    </row>
    <row r="3400" spans="4:8" s="25" customFormat="1" ht="11.25" customHeight="1">
      <c r="D3400" s="28"/>
      <c r="E3400" s="28"/>
      <c r="F3400" s="28"/>
      <c r="G3400" s="28"/>
      <c r="H3400" s="28"/>
    </row>
    <row r="3401" spans="4:8" s="25" customFormat="1" ht="11.25" customHeight="1">
      <c r="D3401" s="28"/>
      <c r="E3401" s="28"/>
      <c r="F3401" s="28"/>
      <c r="G3401" s="28"/>
      <c r="H3401" s="28"/>
    </row>
    <row r="3402" spans="4:8" s="25" customFormat="1" ht="11.25" customHeight="1">
      <c r="D3402" s="28"/>
      <c r="E3402" s="28"/>
      <c r="F3402" s="28"/>
      <c r="G3402" s="28"/>
      <c r="H3402" s="28"/>
    </row>
    <row r="3403" spans="4:8" s="25" customFormat="1" ht="11.25" customHeight="1">
      <c r="D3403" s="28"/>
      <c r="E3403" s="28"/>
      <c r="F3403" s="28"/>
      <c r="G3403" s="28"/>
      <c r="H3403" s="28"/>
    </row>
    <row r="3404" spans="4:8" s="25" customFormat="1" ht="11.25" customHeight="1">
      <c r="D3404" s="28"/>
      <c r="E3404" s="28"/>
      <c r="F3404" s="28"/>
      <c r="G3404" s="28"/>
      <c r="H3404" s="28"/>
    </row>
    <row r="3405" spans="4:8" s="25" customFormat="1" ht="11.25" customHeight="1">
      <c r="D3405" s="28"/>
      <c r="E3405" s="28"/>
      <c r="F3405" s="28"/>
      <c r="G3405" s="28"/>
      <c r="H3405" s="28"/>
    </row>
    <row r="3406" spans="4:8" s="25" customFormat="1" ht="11.25" customHeight="1">
      <c r="D3406" s="28"/>
      <c r="E3406" s="28"/>
      <c r="F3406" s="28"/>
      <c r="G3406" s="28"/>
      <c r="H3406" s="28"/>
    </row>
    <row r="3407" spans="4:8" s="25" customFormat="1" ht="11.25" customHeight="1">
      <c r="D3407" s="28"/>
      <c r="E3407" s="28"/>
      <c r="F3407" s="28"/>
      <c r="G3407" s="28"/>
      <c r="H3407" s="28"/>
    </row>
    <row r="3408" spans="4:8" s="25" customFormat="1" ht="11.25" customHeight="1">
      <c r="D3408" s="28"/>
      <c r="E3408" s="28"/>
      <c r="F3408" s="28"/>
      <c r="G3408" s="28"/>
      <c r="H3408" s="28"/>
    </row>
    <row r="3409" spans="4:8" s="25" customFormat="1" ht="11.25" customHeight="1">
      <c r="D3409" s="28"/>
      <c r="E3409" s="28"/>
      <c r="F3409" s="28"/>
      <c r="G3409" s="28"/>
      <c r="H3409" s="28"/>
    </row>
    <row r="3410" spans="4:8" s="25" customFormat="1" ht="11.25" customHeight="1">
      <c r="D3410" s="28"/>
      <c r="E3410" s="28"/>
      <c r="F3410" s="28"/>
      <c r="G3410" s="28"/>
      <c r="H3410" s="28"/>
    </row>
    <row r="3411" spans="4:8" s="25" customFormat="1" ht="11.25" customHeight="1">
      <c r="D3411" s="28"/>
      <c r="E3411" s="28"/>
      <c r="F3411" s="28"/>
      <c r="G3411" s="28"/>
      <c r="H3411" s="28"/>
    </row>
    <row r="3412" spans="4:8" s="25" customFormat="1" ht="11.25" customHeight="1">
      <c r="D3412" s="28"/>
      <c r="E3412" s="28"/>
      <c r="F3412" s="28"/>
      <c r="G3412" s="28"/>
      <c r="H3412" s="28"/>
    </row>
    <row r="3413" spans="4:8" s="25" customFormat="1" ht="11.25" customHeight="1">
      <c r="D3413" s="28"/>
      <c r="E3413" s="28"/>
      <c r="F3413" s="28"/>
      <c r="G3413" s="28"/>
      <c r="H3413" s="28"/>
    </row>
    <row r="3414" spans="4:8" s="25" customFormat="1" ht="11.25" customHeight="1">
      <c r="D3414" s="28"/>
      <c r="E3414" s="28"/>
      <c r="F3414" s="28"/>
      <c r="G3414" s="28"/>
      <c r="H3414" s="28"/>
    </row>
    <row r="3415" spans="4:8" s="25" customFormat="1" ht="11.25" customHeight="1">
      <c r="D3415" s="28"/>
      <c r="E3415" s="28"/>
      <c r="F3415" s="28"/>
      <c r="G3415" s="28"/>
      <c r="H3415" s="28"/>
    </row>
    <row r="3416" spans="4:8" s="25" customFormat="1" ht="11.25" customHeight="1">
      <c r="D3416" s="28"/>
      <c r="E3416" s="28"/>
      <c r="F3416" s="28"/>
      <c r="G3416" s="28"/>
      <c r="H3416" s="28"/>
    </row>
    <row r="3417" spans="4:8" s="25" customFormat="1" ht="11.25" customHeight="1">
      <c r="D3417" s="28"/>
      <c r="E3417" s="28"/>
      <c r="F3417" s="28"/>
      <c r="G3417" s="28"/>
      <c r="H3417" s="28"/>
    </row>
    <row r="3418" spans="4:8" s="25" customFormat="1" ht="11.25" customHeight="1">
      <c r="D3418" s="28"/>
      <c r="E3418" s="28"/>
      <c r="F3418" s="28"/>
      <c r="G3418" s="28"/>
      <c r="H3418" s="28"/>
    </row>
    <row r="3419" spans="4:8" s="25" customFormat="1" ht="11.25" customHeight="1">
      <c r="D3419" s="28"/>
      <c r="E3419" s="28"/>
      <c r="F3419" s="28"/>
      <c r="G3419" s="28"/>
      <c r="H3419" s="28"/>
    </row>
    <row r="3420" spans="4:8" s="25" customFormat="1" ht="11.25" customHeight="1">
      <c r="D3420" s="28"/>
      <c r="E3420" s="28"/>
      <c r="F3420" s="28"/>
      <c r="G3420" s="28"/>
      <c r="H3420" s="28"/>
    </row>
    <row r="3421" spans="4:8" s="25" customFormat="1" ht="11.25" customHeight="1">
      <c r="D3421" s="28"/>
      <c r="E3421" s="28"/>
      <c r="F3421" s="28"/>
      <c r="G3421" s="28"/>
      <c r="H3421" s="28"/>
    </row>
    <row r="3422" spans="4:8" s="25" customFormat="1" ht="11.25" customHeight="1">
      <c r="D3422" s="28"/>
      <c r="E3422" s="28"/>
      <c r="F3422" s="28"/>
      <c r="G3422" s="28"/>
      <c r="H3422" s="28"/>
    </row>
    <row r="3423" spans="4:8" s="25" customFormat="1" ht="11.25" customHeight="1">
      <c r="D3423" s="28"/>
      <c r="E3423" s="28"/>
      <c r="F3423" s="28"/>
      <c r="G3423" s="28"/>
      <c r="H3423" s="28"/>
    </row>
    <row r="3424" spans="4:8" s="25" customFormat="1" ht="11.25" customHeight="1">
      <c r="D3424" s="28"/>
      <c r="E3424" s="28"/>
      <c r="F3424" s="28"/>
      <c r="G3424" s="28"/>
      <c r="H3424" s="28"/>
    </row>
    <row r="3425" spans="4:8" s="25" customFormat="1" ht="11.25" customHeight="1">
      <c r="D3425" s="28"/>
      <c r="E3425" s="28"/>
      <c r="F3425" s="28"/>
      <c r="G3425" s="28"/>
      <c r="H3425" s="28"/>
    </row>
    <row r="3426" spans="4:8" s="25" customFormat="1" ht="11.25" customHeight="1">
      <c r="D3426" s="28"/>
      <c r="E3426" s="28"/>
      <c r="F3426" s="28"/>
      <c r="G3426" s="28"/>
      <c r="H3426" s="28"/>
    </row>
    <row r="3427" spans="4:8" s="25" customFormat="1" ht="11.25" customHeight="1">
      <c r="D3427" s="28"/>
      <c r="E3427" s="28"/>
      <c r="F3427" s="28"/>
      <c r="G3427" s="28"/>
      <c r="H3427" s="28"/>
    </row>
    <row r="3428" spans="4:8" s="25" customFormat="1" ht="11.25" customHeight="1">
      <c r="D3428" s="28"/>
      <c r="E3428" s="28"/>
      <c r="F3428" s="28"/>
      <c r="G3428" s="28"/>
      <c r="H3428" s="28"/>
    </row>
    <row r="3429" spans="4:8" s="25" customFormat="1" ht="11.25" customHeight="1">
      <c r="D3429" s="28"/>
      <c r="E3429" s="28"/>
      <c r="F3429" s="28"/>
      <c r="G3429" s="28"/>
      <c r="H3429" s="28"/>
    </row>
    <row r="3430" spans="4:8" s="25" customFormat="1" ht="11.25" customHeight="1">
      <c r="D3430" s="28"/>
      <c r="E3430" s="28"/>
      <c r="F3430" s="28"/>
      <c r="G3430" s="28"/>
      <c r="H3430" s="28"/>
    </row>
    <row r="3431" spans="4:8" s="25" customFormat="1" ht="11.25" customHeight="1">
      <c r="D3431" s="28"/>
      <c r="E3431" s="28"/>
      <c r="F3431" s="28"/>
      <c r="G3431" s="28"/>
      <c r="H3431" s="28"/>
    </row>
    <row r="3432" spans="4:8" s="25" customFormat="1" ht="11.25" customHeight="1">
      <c r="D3432" s="28"/>
      <c r="E3432" s="28"/>
      <c r="F3432" s="28"/>
      <c r="G3432" s="28"/>
      <c r="H3432" s="28"/>
    </row>
    <row r="3433" spans="4:8" s="25" customFormat="1" ht="11.25" customHeight="1">
      <c r="D3433" s="28"/>
      <c r="E3433" s="28"/>
      <c r="F3433" s="28"/>
      <c r="G3433" s="28"/>
      <c r="H3433" s="28"/>
    </row>
    <row r="3434" spans="4:8" s="25" customFormat="1" ht="11.25" customHeight="1">
      <c r="D3434" s="28"/>
      <c r="E3434" s="28"/>
      <c r="F3434" s="28"/>
      <c r="G3434" s="28"/>
      <c r="H3434" s="28"/>
    </row>
    <row r="3435" spans="4:8" s="25" customFormat="1" ht="11.25" customHeight="1">
      <c r="D3435" s="28"/>
      <c r="E3435" s="28"/>
      <c r="F3435" s="28"/>
      <c r="G3435" s="28"/>
      <c r="H3435" s="28"/>
    </row>
    <row r="3436" spans="4:8" s="25" customFormat="1" ht="11.25" customHeight="1">
      <c r="D3436" s="28"/>
      <c r="E3436" s="28"/>
      <c r="F3436" s="28"/>
      <c r="G3436" s="28"/>
      <c r="H3436" s="28"/>
    </row>
    <row r="3437" spans="4:8" s="25" customFormat="1" ht="11.25" customHeight="1">
      <c r="D3437" s="28"/>
      <c r="E3437" s="28"/>
      <c r="F3437" s="28"/>
      <c r="G3437" s="28"/>
      <c r="H3437" s="28"/>
    </row>
    <row r="3438" spans="4:8" s="25" customFormat="1" ht="11.25" customHeight="1">
      <c r="D3438" s="28"/>
      <c r="E3438" s="28"/>
      <c r="F3438" s="28"/>
      <c r="G3438" s="28"/>
      <c r="H3438" s="28"/>
    </row>
    <row r="3439" spans="4:8" s="25" customFormat="1" ht="11.25" customHeight="1">
      <c r="D3439" s="28"/>
      <c r="E3439" s="28"/>
      <c r="F3439" s="28"/>
      <c r="G3439" s="28"/>
      <c r="H3439" s="28"/>
    </row>
    <row r="3440" spans="4:8" s="25" customFormat="1" ht="11.25" customHeight="1">
      <c r="D3440" s="28"/>
      <c r="E3440" s="28"/>
      <c r="F3440" s="28"/>
      <c r="G3440" s="28"/>
      <c r="H3440" s="28"/>
    </row>
    <row r="3441" spans="4:8" s="25" customFormat="1" ht="11.25" customHeight="1">
      <c r="D3441" s="28"/>
      <c r="E3441" s="28"/>
      <c r="F3441" s="28"/>
      <c r="G3441" s="28"/>
      <c r="H3441" s="28"/>
    </row>
    <row r="3442" spans="4:8" s="25" customFormat="1" ht="11.25" customHeight="1">
      <c r="D3442" s="28"/>
      <c r="E3442" s="28"/>
      <c r="F3442" s="28"/>
      <c r="G3442" s="28"/>
      <c r="H3442" s="28"/>
    </row>
    <row r="3443" spans="4:8" s="25" customFormat="1" ht="11.25" customHeight="1">
      <c r="D3443" s="28"/>
      <c r="E3443" s="28"/>
      <c r="F3443" s="28"/>
      <c r="G3443" s="28"/>
      <c r="H3443" s="28"/>
    </row>
    <row r="3444" spans="4:8" s="25" customFormat="1" ht="11.25" customHeight="1">
      <c r="D3444" s="28"/>
      <c r="E3444" s="28"/>
      <c r="F3444" s="28"/>
      <c r="G3444" s="28"/>
      <c r="H3444" s="28"/>
    </row>
    <row r="3445" spans="4:8" s="25" customFormat="1" ht="11.25" customHeight="1">
      <c r="D3445" s="28"/>
      <c r="E3445" s="28"/>
      <c r="F3445" s="28"/>
      <c r="G3445" s="28"/>
      <c r="H3445" s="28"/>
    </row>
    <row r="3446" spans="4:8" s="25" customFormat="1" ht="11.25" customHeight="1">
      <c r="D3446" s="28"/>
      <c r="E3446" s="28"/>
      <c r="F3446" s="28"/>
      <c r="G3446" s="28"/>
      <c r="H3446" s="28"/>
    </row>
    <row r="3447" spans="4:8" s="25" customFormat="1" ht="11.25" customHeight="1">
      <c r="D3447" s="28"/>
      <c r="E3447" s="28"/>
      <c r="F3447" s="28"/>
      <c r="G3447" s="28"/>
      <c r="H3447" s="28"/>
    </row>
    <row r="3448" spans="4:8" s="25" customFormat="1" ht="11.25" customHeight="1">
      <c r="D3448" s="28"/>
      <c r="E3448" s="28"/>
      <c r="F3448" s="28"/>
      <c r="G3448" s="28"/>
      <c r="H3448" s="28"/>
    </row>
    <row r="3449" spans="4:8" s="25" customFormat="1" ht="11.25" customHeight="1">
      <c r="D3449" s="28"/>
      <c r="E3449" s="28"/>
      <c r="F3449" s="28"/>
      <c r="G3449" s="28"/>
      <c r="H3449" s="28"/>
    </row>
    <row r="3450" spans="4:8" s="25" customFormat="1" ht="11.25" customHeight="1">
      <c r="D3450" s="28"/>
      <c r="E3450" s="28"/>
      <c r="F3450" s="28"/>
      <c r="G3450" s="28"/>
      <c r="H3450" s="28"/>
    </row>
    <row r="3451" spans="4:8" s="25" customFormat="1" ht="11.25" customHeight="1">
      <c r="D3451" s="28"/>
      <c r="E3451" s="28"/>
      <c r="F3451" s="28"/>
      <c r="G3451" s="28"/>
      <c r="H3451" s="28"/>
    </row>
    <row r="3452" spans="4:8" s="25" customFormat="1" ht="11.25" customHeight="1">
      <c r="D3452" s="28"/>
      <c r="E3452" s="28"/>
      <c r="F3452" s="28"/>
      <c r="G3452" s="28"/>
      <c r="H3452" s="28"/>
    </row>
    <row r="3453" spans="4:8" s="25" customFormat="1" ht="11.25" customHeight="1">
      <c r="D3453" s="28"/>
      <c r="E3453" s="28"/>
      <c r="F3453" s="28"/>
      <c r="G3453" s="28"/>
      <c r="H3453" s="28"/>
    </row>
    <row r="3454" spans="4:8" s="25" customFormat="1" ht="11.25" customHeight="1">
      <c r="D3454" s="28"/>
      <c r="E3454" s="28"/>
      <c r="F3454" s="28"/>
      <c r="G3454" s="28"/>
      <c r="H3454" s="28"/>
    </row>
    <row r="3455" spans="4:8" s="25" customFormat="1" ht="11.25" customHeight="1">
      <c r="D3455" s="28"/>
      <c r="E3455" s="28"/>
      <c r="F3455" s="28"/>
      <c r="G3455" s="28"/>
      <c r="H3455" s="28"/>
    </row>
    <row r="3456" spans="4:8" s="25" customFormat="1" ht="11.25" customHeight="1">
      <c r="D3456" s="28"/>
      <c r="E3456" s="28"/>
      <c r="F3456" s="28"/>
      <c r="G3456" s="28"/>
      <c r="H3456" s="28"/>
    </row>
    <row r="3457" spans="4:8" s="25" customFormat="1" ht="11.25" customHeight="1">
      <c r="D3457" s="28"/>
      <c r="E3457" s="28"/>
      <c r="F3457" s="28"/>
      <c r="G3457" s="28"/>
      <c r="H3457" s="28"/>
    </row>
    <row r="3458" spans="4:8" s="25" customFormat="1" ht="11.25" customHeight="1">
      <c r="D3458" s="28"/>
      <c r="E3458" s="28"/>
      <c r="F3458" s="28"/>
      <c r="G3458" s="28"/>
      <c r="H3458" s="28"/>
    </row>
    <row r="3459" spans="4:8" s="25" customFormat="1" ht="11.25" customHeight="1">
      <c r="D3459" s="28"/>
      <c r="E3459" s="28"/>
      <c r="F3459" s="28"/>
      <c r="G3459" s="28"/>
      <c r="H3459" s="28"/>
    </row>
    <row r="3460" spans="4:8" s="25" customFormat="1" ht="11.25" customHeight="1">
      <c r="D3460" s="28"/>
      <c r="E3460" s="28"/>
      <c r="F3460" s="28"/>
      <c r="G3460" s="28"/>
      <c r="H3460" s="28"/>
    </row>
    <row r="3461" spans="4:8" s="25" customFormat="1" ht="11.25" customHeight="1">
      <c r="D3461" s="28"/>
      <c r="E3461" s="28"/>
      <c r="F3461" s="28"/>
      <c r="G3461" s="28"/>
      <c r="H3461" s="28"/>
    </row>
    <row r="3462" spans="4:8" s="25" customFormat="1" ht="11.25" customHeight="1">
      <c r="D3462" s="28"/>
      <c r="E3462" s="28"/>
      <c r="F3462" s="28"/>
      <c r="G3462" s="28"/>
      <c r="H3462" s="28"/>
    </row>
    <row r="3463" spans="4:8" s="25" customFormat="1" ht="11.25" customHeight="1">
      <c r="D3463" s="28"/>
      <c r="E3463" s="28"/>
      <c r="F3463" s="28"/>
      <c r="G3463" s="28"/>
      <c r="H3463" s="28"/>
    </row>
    <row r="3464" spans="4:8" s="25" customFormat="1" ht="11.25" customHeight="1">
      <c r="D3464" s="28"/>
      <c r="E3464" s="28"/>
      <c r="F3464" s="28"/>
      <c r="G3464" s="28"/>
      <c r="H3464" s="28"/>
    </row>
    <row r="3465" spans="4:8" s="25" customFormat="1" ht="11.25" customHeight="1">
      <c r="D3465" s="28"/>
      <c r="E3465" s="28"/>
      <c r="F3465" s="28"/>
      <c r="G3465" s="28"/>
      <c r="H3465" s="28"/>
    </row>
    <row r="3466" spans="4:8" s="25" customFormat="1" ht="11.25" customHeight="1">
      <c r="D3466" s="28"/>
      <c r="E3466" s="28"/>
      <c r="F3466" s="28"/>
      <c r="G3466" s="28"/>
      <c r="H3466" s="28"/>
    </row>
    <row r="3467" spans="4:8" s="25" customFormat="1" ht="11.25" customHeight="1">
      <c r="D3467" s="28"/>
      <c r="E3467" s="28"/>
      <c r="F3467" s="28"/>
      <c r="G3467" s="28"/>
      <c r="H3467" s="28"/>
    </row>
    <row r="3468" spans="4:8" s="25" customFormat="1" ht="11.25" customHeight="1">
      <c r="D3468" s="28"/>
      <c r="E3468" s="28"/>
      <c r="F3468" s="28"/>
      <c r="G3468" s="28"/>
      <c r="H3468" s="28"/>
    </row>
    <row r="3469" spans="4:8" s="25" customFormat="1" ht="11.25" customHeight="1">
      <c r="D3469" s="28"/>
      <c r="E3469" s="28"/>
      <c r="F3469" s="28"/>
      <c r="G3469" s="28"/>
      <c r="H3469" s="28"/>
    </row>
    <row r="3470" spans="4:8" s="25" customFormat="1" ht="11.25" customHeight="1">
      <c r="D3470" s="28"/>
      <c r="E3470" s="28"/>
      <c r="F3470" s="28"/>
      <c r="G3470" s="28"/>
      <c r="H3470" s="28"/>
    </row>
    <row r="3471" spans="4:8" s="25" customFormat="1" ht="11.25" customHeight="1">
      <c r="D3471" s="28"/>
      <c r="E3471" s="28"/>
      <c r="F3471" s="28"/>
      <c r="G3471" s="28"/>
      <c r="H3471" s="28"/>
    </row>
    <row r="3472" spans="4:8" s="25" customFormat="1" ht="11.25" customHeight="1">
      <c r="D3472" s="28"/>
      <c r="E3472" s="28"/>
      <c r="F3472" s="28"/>
      <c r="G3472" s="28"/>
      <c r="H3472" s="28"/>
    </row>
    <row r="3473" spans="4:8" s="25" customFormat="1" ht="11.25" customHeight="1">
      <c r="D3473" s="28"/>
      <c r="E3473" s="28"/>
      <c r="F3473" s="28"/>
      <c r="G3473" s="28"/>
      <c r="H3473" s="28"/>
    </row>
    <row r="3474" spans="4:8" s="25" customFormat="1" ht="11.25" customHeight="1">
      <c r="D3474" s="28"/>
      <c r="E3474" s="28"/>
      <c r="F3474" s="28"/>
      <c r="G3474" s="28"/>
      <c r="H3474" s="28"/>
    </row>
    <row r="3475" spans="4:8" s="25" customFormat="1" ht="11.25" customHeight="1">
      <c r="D3475" s="28"/>
      <c r="E3475" s="28"/>
      <c r="F3475" s="28"/>
      <c r="G3475" s="28"/>
      <c r="H3475" s="28"/>
    </row>
    <row r="3476" spans="4:8" s="25" customFormat="1" ht="11.25" customHeight="1">
      <c r="D3476" s="28"/>
      <c r="E3476" s="28"/>
      <c r="F3476" s="28"/>
      <c r="G3476" s="28"/>
      <c r="H3476" s="28"/>
    </row>
    <row r="3477" spans="4:8" s="25" customFormat="1" ht="11.25" customHeight="1">
      <c r="D3477" s="28"/>
      <c r="E3477" s="28"/>
      <c r="F3477" s="28"/>
      <c r="G3477" s="28"/>
      <c r="H3477" s="28"/>
    </row>
    <row r="3478" spans="4:8" s="25" customFormat="1" ht="11.25" customHeight="1">
      <c r="D3478" s="28"/>
      <c r="E3478" s="28"/>
      <c r="F3478" s="28"/>
      <c r="G3478" s="28"/>
      <c r="H3478" s="28"/>
    </row>
    <row r="3479" spans="4:8" s="25" customFormat="1" ht="11.25" customHeight="1">
      <c r="D3479" s="28"/>
      <c r="E3479" s="28"/>
      <c r="F3479" s="28"/>
      <c r="G3479" s="28"/>
      <c r="H3479" s="28"/>
    </row>
    <row r="3480" spans="4:8" s="25" customFormat="1" ht="11.25" customHeight="1">
      <c r="D3480" s="28"/>
      <c r="E3480" s="28"/>
      <c r="F3480" s="28"/>
      <c r="G3480" s="28"/>
      <c r="H3480" s="28"/>
    </row>
    <row r="3481" spans="4:8" s="25" customFormat="1" ht="11.25" customHeight="1">
      <c r="D3481" s="28"/>
      <c r="E3481" s="28"/>
      <c r="F3481" s="28"/>
      <c r="G3481" s="28"/>
      <c r="H3481" s="28"/>
    </row>
    <row r="3482" spans="4:8" s="25" customFormat="1" ht="11.25" customHeight="1">
      <c r="D3482" s="28"/>
      <c r="E3482" s="28"/>
      <c r="F3482" s="28"/>
      <c r="G3482" s="28"/>
      <c r="H3482" s="28"/>
    </row>
    <row r="3483" spans="4:8" s="25" customFormat="1" ht="11.25" customHeight="1">
      <c r="D3483" s="28"/>
      <c r="E3483" s="28"/>
      <c r="F3483" s="28"/>
      <c r="G3483" s="28"/>
      <c r="H3483" s="28"/>
    </row>
    <row r="3484" spans="4:8" s="25" customFormat="1" ht="11.25" customHeight="1">
      <c r="D3484" s="28"/>
      <c r="E3484" s="28"/>
      <c r="F3484" s="28"/>
      <c r="G3484" s="28"/>
      <c r="H3484" s="28"/>
    </row>
    <row r="3485" spans="4:8" s="25" customFormat="1" ht="11.25" customHeight="1">
      <c r="D3485" s="28"/>
      <c r="E3485" s="28"/>
      <c r="F3485" s="28"/>
      <c r="G3485" s="28"/>
      <c r="H3485" s="28"/>
    </row>
    <row r="3486" spans="4:8" s="25" customFormat="1" ht="11.25" customHeight="1">
      <c r="D3486" s="28"/>
      <c r="E3486" s="28"/>
      <c r="F3486" s="28"/>
      <c r="G3486" s="28"/>
      <c r="H3486" s="28"/>
    </row>
    <row r="3487" spans="4:8" s="25" customFormat="1" ht="11.25" customHeight="1">
      <c r="D3487" s="28"/>
      <c r="E3487" s="28"/>
      <c r="F3487" s="28"/>
      <c r="G3487" s="28"/>
      <c r="H3487" s="28"/>
    </row>
    <row r="3488" spans="4:8" s="25" customFormat="1" ht="11.25" customHeight="1">
      <c r="D3488" s="28"/>
      <c r="E3488" s="28"/>
      <c r="F3488" s="28"/>
      <c r="G3488" s="28"/>
      <c r="H3488" s="28"/>
    </row>
    <row r="3489" spans="4:8" s="25" customFormat="1" ht="11.25" customHeight="1">
      <c r="D3489" s="28"/>
      <c r="E3489" s="28"/>
      <c r="F3489" s="28"/>
      <c r="G3489" s="28"/>
      <c r="H3489" s="28"/>
    </row>
    <row r="3490" spans="4:8" s="25" customFormat="1" ht="11.25" customHeight="1">
      <c r="D3490" s="28"/>
      <c r="E3490" s="28"/>
      <c r="F3490" s="28"/>
      <c r="G3490" s="28"/>
      <c r="H3490" s="28"/>
    </row>
    <row r="3491" spans="4:8" s="25" customFormat="1" ht="11.25" customHeight="1">
      <c r="D3491" s="28"/>
      <c r="E3491" s="28"/>
      <c r="F3491" s="28"/>
      <c r="G3491" s="28"/>
      <c r="H3491" s="28"/>
    </row>
    <row r="3492" spans="4:8" s="25" customFormat="1" ht="11.25" customHeight="1">
      <c r="D3492" s="28"/>
      <c r="E3492" s="28"/>
      <c r="F3492" s="28"/>
      <c r="G3492" s="28"/>
      <c r="H3492" s="28"/>
    </row>
    <row r="3493" spans="4:8" s="25" customFormat="1" ht="11.25" customHeight="1">
      <c r="D3493" s="28"/>
      <c r="E3493" s="28"/>
      <c r="F3493" s="28"/>
      <c r="G3493" s="28"/>
      <c r="H3493" s="28"/>
    </row>
    <row r="3494" spans="4:8" s="25" customFormat="1" ht="11.25" customHeight="1">
      <c r="D3494" s="28"/>
      <c r="E3494" s="28"/>
      <c r="F3494" s="28"/>
      <c r="G3494" s="28"/>
      <c r="H3494" s="28"/>
    </row>
    <row r="3495" spans="4:8" s="25" customFormat="1" ht="11.25" customHeight="1">
      <c r="D3495" s="28"/>
      <c r="E3495" s="28"/>
      <c r="F3495" s="28"/>
      <c r="G3495" s="28"/>
      <c r="H3495" s="28"/>
    </row>
    <row r="3496" spans="4:8" s="25" customFormat="1" ht="11.25" customHeight="1">
      <c r="D3496" s="28"/>
      <c r="E3496" s="28"/>
      <c r="F3496" s="28"/>
      <c r="G3496" s="28"/>
      <c r="H3496" s="28"/>
    </row>
    <row r="3497" spans="4:8" s="25" customFormat="1" ht="11.25" customHeight="1">
      <c r="D3497" s="28"/>
      <c r="E3497" s="28"/>
      <c r="F3497" s="28"/>
      <c r="G3497" s="28"/>
      <c r="H3497" s="28"/>
    </row>
    <row r="3498" spans="4:8" s="25" customFormat="1" ht="11.25" customHeight="1">
      <c r="D3498" s="28"/>
      <c r="E3498" s="28"/>
      <c r="F3498" s="28"/>
      <c r="G3498" s="28"/>
      <c r="H3498" s="28"/>
    </row>
    <row r="3499" spans="4:8" s="25" customFormat="1" ht="11.25" customHeight="1">
      <c r="D3499" s="28"/>
      <c r="E3499" s="28"/>
      <c r="F3499" s="28"/>
      <c r="G3499" s="28"/>
      <c r="H3499" s="28"/>
    </row>
    <row r="3500" spans="4:8" s="25" customFormat="1" ht="11.25" customHeight="1">
      <c r="D3500" s="28"/>
      <c r="E3500" s="28"/>
      <c r="F3500" s="28"/>
      <c r="G3500" s="28"/>
      <c r="H3500" s="28"/>
    </row>
    <row r="3501" spans="4:8" s="25" customFormat="1" ht="11.25" customHeight="1">
      <c r="D3501" s="28"/>
      <c r="E3501" s="28"/>
      <c r="F3501" s="28"/>
      <c r="G3501" s="28"/>
      <c r="H3501" s="28"/>
    </row>
    <row r="3502" spans="4:8" s="25" customFormat="1" ht="11.25" customHeight="1">
      <c r="D3502" s="28"/>
      <c r="E3502" s="28"/>
      <c r="F3502" s="28"/>
      <c r="G3502" s="28"/>
      <c r="H3502" s="28"/>
    </row>
    <row r="3503" spans="4:8" s="25" customFormat="1" ht="11.25" customHeight="1">
      <c r="D3503" s="28"/>
      <c r="E3503" s="28"/>
      <c r="F3503" s="28"/>
      <c r="G3503" s="28"/>
      <c r="H3503" s="28"/>
    </row>
    <row r="3504" spans="4:8" s="25" customFormat="1" ht="11.25" customHeight="1">
      <c r="D3504" s="28"/>
      <c r="E3504" s="28"/>
      <c r="F3504" s="28"/>
      <c r="G3504" s="28"/>
      <c r="H3504" s="28"/>
    </row>
    <row r="3505" spans="4:8" s="25" customFormat="1" ht="11.25" customHeight="1">
      <c r="D3505" s="28"/>
      <c r="E3505" s="28"/>
      <c r="F3505" s="28"/>
      <c r="G3505" s="28"/>
      <c r="H3505" s="28"/>
    </row>
    <row r="3506" spans="4:8" s="25" customFormat="1" ht="11.25" customHeight="1">
      <c r="D3506" s="28"/>
      <c r="E3506" s="28"/>
      <c r="F3506" s="28"/>
      <c r="G3506" s="28"/>
      <c r="H3506" s="28"/>
    </row>
    <row r="3507" spans="4:8" s="25" customFormat="1" ht="11.25" customHeight="1">
      <c r="D3507" s="28"/>
      <c r="E3507" s="28"/>
      <c r="F3507" s="28"/>
      <c r="G3507" s="28"/>
      <c r="H3507" s="28"/>
    </row>
    <row r="3508" spans="4:8" s="25" customFormat="1" ht="11.25" customHeight="1">
      <c r="D3508" s="28"/>
      <c r="E3508" s="28"/>
      <c r="F3508" s="28"/>
      <c r="G3508" s="28"/>
      <c r="H3508" s="28"/>
    </row>
    <row r="3509" spans="4:8" s="25" customFormat="1" ht="11.25" customHeight="1">
      <c r="D3509" s="28"/>
      <c r="E3509" s="28"/>
      <c r="F3509" s="28"/>
      <c r="G3509" s="28"/>
      <c r="H3509" s="28"/>
    </row>
    <row r="3510" spans="4:8" s="25" customFormat="1" ht="11.25" customHeight="1">
      <c r="D3510" s="28"/>
      <c r="E3510" s="28"/>
      <c r="F3510" s="28"/>
      <c r="G3510" s="28"/>
      <c r="H3510" s="28"/>
    </row>
    <row r="3511" spans="4:8" s="25" customFormat="1" ht="11.25" customHeight="1">
      <c r="D3511" s="28"/>
      <c r="E3511" s="28"/>
      <c r="F3511" s="28"/>
      <c r="G3511" s="28"/>
      <c r="H3511" s="28"/>
    </row>
    <row r="3512" spans="4:8" s="25" customFormat="1" ht="11.25" customHeight="1">
      <c r="D3512" s="28"/>
      <c r="E3512" s="28"/>
      <c r="F3512" s="28"/>
      <c r="G3512" s="28"/>
      <c r="H3512" s="28"/>
    </row>
    <row r="3513" spans="4:8" s="25" customFormat="1" ht="11.25" customHeight="1">
      <c r="D3513" s="28"/>
      <c r="E3513" s="28"/>
      <c r="F3513" s="28"/>
      <c r="G3513" s="28"/>
      <c r="H3513" s="28"/>
    </row>
    <row r="3514" spans="4:8" s="25" customFormat="1" ht="11.25" customHeight="1">
      <c r="D3514" s="28"/>
      <c r="E3514" s="28"/>
      <c r="F3514" s="28"/>
      <c r="G3514" s="28"/>
      <c r="H3514" s="28"/>
    </row>
    <row r="3515" spans="4:8" s="25" customFormat="1" ht="11.25" customHeight="1">
      <c r="D3515" s="28"/>
      <c r="E3515" s="28"/>
      <c r="F3515" s="28"/>
      <c r="G3515" s="28"/>
      <c r="H3515" s="28"/>
    </row>
    <row r="3516" spans="4:8" s="25" customFormat="1" ht="11.25" customHeight="1">
      <c r="D3516" s="28"/>
      <c r="E3516" s="28"/>
      <c r="F3516" s="28"/>
      <c r="G3516" s="28"/>
      <c r="H3516" s="28"/>
    </row>
    <row r="3517" spans="4:8" s="25" customFormat="1" ht="11.25" customHeight="1">
      <c r="D3517" s="28"/>
      <c r="E3517" s="28"/>
      <c r="F3517" s="28"/>
      <c r="G3517" s="28"/>
      <c r="H3517" s="28"/>
    </row>
    <row r="3518" spans="4:8" s="25" customFormat="1" ht="11.25" customHeight="1">
      <c r="D3518" s="28"/>
      <c r="E3518" s="28"/>
      <c r="F3518" s="28"/>
      <c r="G3518" s="28"/>
      <c r="H3518" s="28"/>
    </row>
    <row r="3519" spans="4:8" s="25" customFormat="1" ht="11.25" customHeight="1">
      <c r="D3519" s="28"/>
      <c r="E3519" s="28"/>
      <c r="F3519" s="28"/>
      <c r="G3519" s="28"/>
      <c r="H3519" s="28"/>
    </row>
    <row r="3520" spans="4:8" s="25" customFormat="1" ht="11.25" customHeight="1">
      <c r="D3520" s="28"/>
      <c r="E3520" s="28"/>
      <c r="F3520" s="28"/>
      <c r="G3520" s="28"/>
      <c r="H3520" s="28"/>
    </row>
    <row r="3521" spans="4:8" s="25" customFormat="1" ht="11.25" customHeight="1">
      <c r="D3521" s="28"/>
      <c r="E3521" s="28"/>
      <c r="F3521" s="28"/>
      <c r="G3521" s="28"/>
      <c r="H3521" s="28"/>
    </row>
    <row r="3522" spans="4:8" s="25" customFormat="1" ht="11.25" customHeight="1">
      <c r="D3522" s="28"/>
      <c r="E3522" s="28"/>
      <c r="F3522" s="28"/>
      <c r="G3522" s="28"/>
      <c r="H3522" s="28"/>
    </row>
    <row r="3523" spans="4:8" s="25" customFormat="1" ht="11.25" customHeight="1">
      <c r="D3523" s="28"/>
      <c r="E3523" s="28"/>
      <c r="F3523" s="28"/>
      <c r="G3523" s="28"/>
      <c r="H3523" s="28"/>
    </row>
    <row r="3524" spans="4:8" s="25" customFormat="1" ht="11.25" customHeight="1">
      <c r="D3524" s="28"/>
      <c r="E3524" s="28"/>
      <c r="F3524" s="28"/>
      <c r="G3524" s="28"/>
      <c r="H3524" s="28"/>
    </row>
    <row r="3525" spans="4:8" s="25" customFormat="1" ht="11.25" customHeight="1">
      <c r="D3525" s="28"/>
      <c r="E3525" s="28"/>
      <c r="F3525" s="28"/>
      <c r="G3525" s="28"/>
      <c r="H3525" s="28"/>
    </row>
    <row r="3526" spans="4:8" s="25" customFormat="1" ht="11.25" customHeight="1">
      <c r="D3526" s="28"/>
      <c r="E3526" s="28"/>
      <c r="F3526" s="28"/>
      <c r="G3526" s="28"/>
      <c r="H3526" s="28"/>
    </row>
    <row r="3527" spans="4:8" s="25" customFormat="1" ht="11.25" customHeight="1">
      <c r="D3527" s="28"/>
      <c r="E3527" s="28"/>
      <c r="F3527" s="28"/>
      <c r="G3527" s="28"/>
      <c r="H3527" s="28"/>
    </row>
    <row r="3528" spans="4:8" s="25" customFormat="1" ht="11.25" customHeight="1">
      <c r="D3528" s="28"/>
      <c r="E3528" s="28"/>
      <c r="F3528" s="28"/>
      <c r="G3528" s="28"/>
      <c r="H3528" s="28"/>
    </row>
    <row r="3529" spans="4:8" s="25" customFormat="1" ht="11.25" customHeight="1">
      <c r="D3529" s="28"/>
      <c r="E3529" s="28"/>
      <c r="F3529" s="28"/>
      <c r="G3529" s="28"/>
      <c r="H3529" s="28"/>
    </row>
    <row r="3530" spans="4:8" s="25" customFormat="1" ht="11.25" customHeight="1">
      <c r="D3530" s="28"/>
      <c r="E3530" s="28"/>
      <c r="F3530" s="28"/>
      <c r="G3530" s="28"/>
      <c r="H3530" s="28"/>
    </row>
    <row r="3531" spans="4:8" s="25" customFormat="1" ht="11.25" customHeight="1">
      <c r="D3531" s="28"/>
      <c r="E3531" s="28"/>
      <c r="F3531" s="28"/>
      <c r="G3531" s="28"/>
      <c r="H3531" s="28"/>
    </row>
    <row r="3532" spans="4:8" s="25" customFormat="1" ht="11.25" customHeight="1">
      <c r="D3532" s="28"/>
      <c r="E3532" s="28"/>
      <c r="F3532" s="28"/>
      <c r="G3532" s="28"/>
      <c r="H3532" s="28"/>
    </row>
    <row r="3533" spans="4:8" s="25" customFormat="1" ht="11.25" customHeight="1">
      <c r="D3533" s="28"/>
      <c r="E3533" s="28"/>
      <c r="F3533" s="28"/>
      <c r="G3533" s="28"/>
      <c r="H3533" s="28"/>
    </row>
    <row r="3534" spans="4:8" s="25" customFormat="1" ht="11.25" customHeight="1">
      <c r="D3534" s="28"/>
      <c r="E3534" s="28"/>
      <c r="F3534" s="28"/>
      <c r="G3534" s="28"/>
      <c r="H3534" s="28"/>
    </row>
    <row r="3535" spans="4:8" s="25" customFormat="1" ht="11.25" customHeight="1">
      <c r="D3535" s="28"/>
      <c r="E3535" s="28"/>
      <c r="F3535" s="28"/>
      <c r="G3535" s="28"/>
      <c r="H3535" s="28"/>
    </row>
    <row r="3536" spans="4:8" s="25" customFormat="1" ht="11.25" customHeight="1">
      <c r="D3536" s="28"/>
      <c r="E3536" s="28"/>
      <c r="F3536" s="28"/>
      <c r="G3536" s="28"/>
      <c r="H3536" s="28"/>
    </row>
    <row r="3537" spans="4:8" s="25" customFormat="1" ht="11.25" customHeight="1">
      <c r="D3537" s="28"/>
      <c r="E3537" s="28"/>
      <c r="F3537" s="28"/>
      <c r="G3537" s="28"/>
      <c r="H3537" s="28"/>
    </row>
    <row r="3538" spans="4:8" s="25" customFormat="1" ht="11.25" customHeight="1">
      <c r="D3538" s="28"/>
      <c r="E3538" s="28"/>
      <c r="F3538" s="28"/>
      <c r="G3538" s="28"/>
      <c r="H3538" s="28"/>
    </row>
    <row r="3539" spans="4:8" s="25" customFormat="1" ht="11.25" customHeight="1">
      <c r="D3539" s="28"/>
      <c r="E3539" s="28"/>
      <c r="F3539" s="28"/>
      <c r="G3539" s="28"/>
      <c r="H3539" s="28"/>
    </row>
    <row r="3540" spans="4:8" s="25" customFormat="1" ht="11.25" customHeight="1">
      <c r="D3540" s="28"/>
      <c r="E3540" s="28"/>
      <c r="F3540" s="28"/>
      <c r="G3540" s="28"/>
      <c r="H3540" s="28"/>
    </row>
    <row r="3541" spans="4:8" s="25" customFormat="1" ht="11.25" customHeight="1">
      <c r="D3541" s="28"/>
      <c r="E3541" s="28"/>
      <c r="F3541" s="28"/>
      <c r="G3541" s="28"/>
      <c r="H3541" s="28"/>
    </row>
    <row r="3542" spans="4:8" s="25" customFormat="1" ht="11.25" customHeight="1">
      <c r="D3542" s="28"/>
      <c r="E3542" s="28"/>
      <c r="F3542" s="28"/>
      <c r="G3542" s="28"/>
      <c r="H3542" s="28"/>
    </row>
    <row r="3543" spans="4:8" s="25" customFormat="1" ht="11.25" customHeight="1">
      <c r="D3543" s="28"/>
      <c r="E3543" s="28"/>
      <c r="F3543" s="28"/>
      <c r="G3543" s="28"/>
      <c r="H3543" s="28"/>
    </row>
    <row r="3544" spans="4:8" s="25" customFormat="1" ht="11.25" customHeight="1">
      <c r="D3544" s="28"/>
      <c r="E3544" s="28"/>
      <c r="F3544" s="28"/>
      <c r="G3544" s="28"/>
      <c r="H3544" s="28"/>
    </row>
    <row r="3545" spans="4:8" s="25" customFormat="1" ht="11.25" customHeight="1">
      <c r="D3545" s="28"/>
      <c r="E3545" s="28"/>
      <c r="F3545" s="28"/>
      <c r="G3545" s="28"/>
      <c r="H3545" s="28"/>
    </row>
    <row r="3546" spans="4:8" s="25" customFormat="1" ht="11.25" customHeight="1">
      <c r="D3546" s="28"/>
      <c r="E3546" s="28"/>
      <c r="F3546" s="28"/>
      <c r="G3546" s="28"/>
      <c r="H3546" s="28"/>
    </row>
    <row r="3547" spans="4:8" s="25" customFormat="1" ht="11.25" customHeight="1">
      <c r="D3547" s="28"/>
      <c r="E3547" s="28"/>
      <c r="F3547" s="28"/>
      <c r="G3547" s="28"/>
      <c r="H3547" s="28"/>
    </row>
    <row r="3548" spans="4:8" s="25" customFormat="1" ht="11.25" customHeight="1">
      <c r="D3548" s="28"/>
      <c r="E3548" s="28"/>
      <c r="F3548" s="28"/>
      <c r="G3548" s="28"/>
      <c r="H3548" s="28"/>
    </row>
    <row r="3549" spans="4:8" s="25" customFormat="1" ht="11.25" customHeight="1">
      <c r="D3549" s="28"/>
      <c r="E3549" s="28"/>
      <c r="F3549" s="28"/>
      <c r="G3549" s="28"/>
      <c r="H3549" s="28"/>
    </row>
    <row r="3550" spans="4:8" s="25" customFormat="1" ht="11.25" customHeight="1">
      <c r="D3550" s="28"/>
      <c r="E3550" s="28"/>
      <c r="F3550" s="28"/>
      <c r="G3550" s="28"/>
      <c r="H3550" s="28"/>
    </row>
    <row r="3551" spans="4:8" s="25" customFormat="1" ht="11.25" customHeight="1">
      <c r="D3551" s="28"/>
      <c r="E3551" s="28"/>
      <c r="F3551" s="28"/>
      <c r="G3551" s="28"/>
      <c r="H3551" s="28"/>
    </row>
    <row r="3552" spans="4:8" s="25" customFormat="1" ht="11.25" customHeight="1">
      <c r="D3552" s="28"/>
      <c r="E3552" s="28"/>
      <c r="F3552" s="28"/>
      <c r="G3552" s="28"/>
      <c r="H3552" s="28"/>
    </row>
    <row r="3553" spans="4:8" s="25" customFormat="1" ht="11.25" customHeight="1">
      <c r="D3553" s="28"/>
      <c r="E3553" s="28"/>
      <c r="F3553" s="28"/>
      <c r="G3553" s="28"/>
      <c r="H3553" s="28"/>
    </row>
    <row r="3554" spans="4:8" s="25" customFormat="1" ht="11.25" customHeight="1">
      <c r="D3554" s="28"/>
      <c r="E3554" s="28"/>
      <c r="F3554" s="28"/>
      <c r="G3554" s="28"/>
      <c r="H3554" s="28"/>
    </row>
    <row r="3555" spans="4:8" s="25" customFormat="1" ht="11.25" customHeight="1">
      <c r="D3555" s="28"/>
      <c r="E3555" s="28"/>
      <c r="F3555" s="28"/>
      <c r="G3555" s="28"/>
      <c r="H3555" s="28"/>
    </row>
    <row r="3556" spans="4:8" s="25" customFormat="1" ht="11.25" customHeight="1">
      <c r="D3556" s="28"/>
      <c r="E3556" s="28"/>
      <c r="F3556" s="28"/>
      <c r="G3556" s="28"/>
      <c r="H3556" s="28"/>
    </row>
    <row r="3557" spans="4:8" s="25" customFormat="1" ht="11.25" customHeight="1">
      <c r="D3557" s="28"/>
      <c r="E3557" s="28"/>
      <c r="F3557" s="28"/>
      <c r="G3557" s="28"/>
      <c r="H3557" s="28"/>
    </row>
    <row r="3558" spans="4:8" s="25" customFormat="1" ht="11.25" customHeight="1">
      <c r="D3558" s="28"/>
      <c r="E3558" s="28"/>
      <c r="F3558" s="28"/>
      <c r="G3558" s="28"/>
      <c r="H3558" s="28"/>
    </row>
    <row r="3559" spans="4:8" s="25" customFormat="1" ht="11.25" customHeight="1">
      <c r="D3559" s="28"/>
      <c r="E3559" s="28"/>
      <c r="F3559" s="28"/>
      <c r="G3559" s="28"/>
      <c r="H3559" s="28"/>
    </row>
    <row r="3560" spans="4:8" s="25" customFormat="1" ht="11.25" customHeight="1">
      <c r="D3560" s="28"/>
      <c r="E3560" s="28"/>
      <c r="F3560" s="28"/>
      <c r="G3560" s="28"/>
      <c r="H3560" s="28"/>
    </row>
    <row r="3561" spans="4:8" s="25" customFormat="1" ht="11.25" customHeight="1">
      <c r="D3561" s="28"/>
      <c r="E3561" s="28"/>
      <c r="F3561" s="28"/>
      <c r="G3561" s="28"/>
      <c r="H3561" s="28"/>
    </row>
    <row r="3562" spans="4:8" s="25" customFormat="1" ht="11.25" customHeight="1">
      <c r="D3562" s="28"/>
      <c r="E3562" s="28"/>
      <c r="F3562" s="28"/>
      <c r="G3562" s="28"/>
      <c r="H3562" s="28"/>
    </row>
    <row r="3563" spans="4:8" s="25" customFormat="1" ht="11.25" customHeight="1">
      <c r="D3563" s="28"/>
      <c r="E3563" s="28"/>
      <c r="F3563" s="28"/>
      <c r="G3563" s="28"/>
      <c r="H3563" s="28"/>
    </row>
    <row r="3564" spans="4:8" s="25" customFormat="1" ht="11.25" customHeight="1">
      <c r="D3564" s="28"/>
      <c r="E3564" s="28"/>
      <c r="F3564" s="28"/>
      <c r="G3564" s="28"/>
      <c r="H3564" s="28"/>
    </row>
    <row r="3565" spans="4:8" s="25" customFormat="1" ht="11.25" customHeight="1">
      <c r="D3565" s="28"/>
      <c r="E3565" s="28"/>
      <c r="F3565" s="28"/>
      <c r="G3565" s="28"/>
      <c r="H3565" s="28"/>
    </row>
    <row r="3566" spans="4:8" s="25" customFormat="1" ht="11.25" customHeight="1">
      <c r="D3566" s="28"/>
      <c r="E3566" s="28"/>
      <c r="F3566" s="28"/>
      <c r="G3566" s="28"/>
      <c r="H3566" s="28"/>
    </row>
    <row r="3567" spans="4:8" s="25" customFormat="1" ht="11.25" customHeight="1">
      <c r="D3567" s="28"/>
      <c r="E3567" s="28"/>
      <c r="F3567" s="28"/>
      <c r="G3567" s="28"/>
      <c r="H3567" s="28"/>
    </row>
    <row r="3568" spans="4:8" s="25" customFormat="1" ht="11.25" customHeight="1">
      <c r="D3568" s="28"/>
      <c r="E3568" s="28"/>
      <c r="F3568" s="28"/>
      <c r="G3568" s="28"/>
      <c r="H3568" s="28"/>
    </row>
    <row r="3569" spans="4:8" s="25" customFormat="1" ht="11.25" customHeight="1">
      <c r="D3569" s="28"/>
      <c r="E3569" s="28"/>
      <c r="F3569" s="28"/>
      <c r="G3569" s="28"/>
      <c r="H3569" s="28"/>
    </row>
    <row r="3570" spans="4:8" s="25" customFormat="1" ht="11.25" customHeight="1">
      <c r="D3570" s="28"/>
      <c r="E3570" s="28"/>
      <c r="F3570" s="28"/>
      <c r="G3570" s="28"/>
      <c r="H3570" s="28"/>
    </row>
    <row r="3571" spans="4:8" s="25" customFormat="1" ht="11.25" customHeight="1">
      <c r="D3571" s="28"/>
      <c r="E3571" s="28"/>
      <c r="F3571" s="28"/>
      <c r="G3571" s="28"/>
      <c r="H3571" s="28"/>
    </row>
    <row r="3572" spans="4:8" s="25" customFormat="1" ht="11.25" customHeight="1">
      <c r="D3572" s="28"/>
      <c r="E3572" s="28"/>
      <c r="F3572" s="28"/>
      <c r="G3572" s="28"/>
      <c r="H3572" s="28"/>
    </row>
    <row r="3573" spans="4:8" s="25" customFormat="1" ht="11.25" customHeight="1">
      <c r="D3573" s="28"/>
      <c r="E3573" s="28"/>
      <c r="F3573" s="28"/>
      <c r="G3573" s="28"/>
      <c r="H3573" s="28"/>
    </row>
    <row r="3574" spans="4:8" s="25" customFormat="1" ht="11.25" customHeight="1">
      <c r="D3574" s="28"/>
      <c r="E3574" s="28"/>
      <c r="F3574" s="28"/>
      <c r="G3574" s="28"/>
      <c r="H3574" s="28"/>
    </row>
    <row r="3575" spans="4:8" s="25" customFormat="1" ht="11.25" customHeight="1">
      <c r="D3575" s="28"/>
      <c r="E3575" s="28"/>
      <c r="F3575" s="28"/>
      <c r="G3575" s="28"/>
      <c r="H3575" s="28"/>
    </row>
    <row r="3576" spans="4:8" s="25" customFormat="1" ht="11.25" customHeight="1">
      <c r="D3576" s="28"/>
      <c r="E3576" s="28"/>
      <c r="F3576" s="28"/>
      <c r="G3576" s="28"/>
      <c r="H3576" s="28"/>
    </row>
    <row r="3577" spans="4:8" s="25" customFormat="1" ht="11.25" customHeight="1">
      <c r="D3577" s="28"/>
      <c r="E3577" s="28"/>
      <c r="F3577" s="28"/>
      <c r="G3577" s="28"/>
      <c r="H3577" s="28"/>
    </row>
    <row r="3578" spans="4:8" s="25" customFormat="1" ht="11.25" customHeight="1">
      <c r="D3578" s="28"/>
      <c r="E3578" s="28"/>
      <c r="F3578" s="28"/>
      <c r="G3578" s="28"/>
      <c r="H3578" s="28"/>
    </row>
    <row r="3579" spans="4:8" s="25" customFormat="1" ht="11.25" customHeight="1">
      <c r="D3579" s="28"/>
      <c r="E3579" s="28"/>
      <c r="F3579" s="28"/>
      <c r="G3579" s="28"/>
      <c r="H3579" s="28"/>
    </row>
    <row r="3580" spans="4:8" s="25" customFormat="1" ht="11.25" customHeight="1">
      <c r="D3580" s="28"/>
      <c r="E3580" s="28"/>
      <c r="F3580" s="28"/>
      <c r="G3580" s="28"/>
      <c r="H3580" s="28"/>
    </row>
    <row r="3581" spans="4:8" s="25" customFormat="1" ht="11.25" customHeight="1">
      <c r="D3581" s="28"/>
      <c r="E3581" s="28"/>
      <c r="F3581" s="28"/>
      <c r="G3581" s="28"/>
      <c r="H3581" s="28"/>
    </row>
    <row r="3582" spans="4:8" s="25" customFormat="1" ht="11.25" customHeight="1">
      <c r="D3582" s="28"/>
      <c r="E3582" s="28"/>
      <c r="F3582" s="28"/>
      <c r="G3582" s="28"/>
      <c r="H3582" s="28"/>
    </row>
    <row r="3583" spans="4:8" s="25" customFormat="1" ht="11.25" customHeight="1">
      <c r="D3583" s="28"/>
      <c r="E3583" s="28"/>
      <c r="F3583" s="28"/>
      <c r="G3583" s="28"/>
      <c r="H3583" s="28"/>
    </row>
    <row r="3584" spans="4:8" s="25" customFormat="1" ht="11.25" customHeight="1">
      <c r="D3584" s="28"/>
      <c r="E3584" s="28"/>
      <c r="F3584" s="28"/>
      <c r="G3584" s="28"/>
      <c r="H3584" s="28"/>
    </row>
    <row r="3585" spans="4:8" s="25" customFormat="1" ht="11.25" customHeight="1">
      <c r="D3585" s="28"/>
      <c r="E3585" s="28"/>
      <c r="F3585" s="28"/>
      <c r="G3585" s="28"/>
      <c r="H3585" s="28"/>
    </row>
    <row r="3586" spans="4:8" s="25" customFormat="1" ht="11.25" customHeight="1">
      <c r="D3586" s="28"/>
      <c r="E3586" s="28"/>
      <c r="F3586" s="28"/>
      <c r="G3586" s="28"/>
      <c r="H3586" s="28"/>
    </row>
    <row r="3587" spans="4:8" s="25" customFormat="1" ht="11.25" customHeight="1">
      <c r="D3587" s="28"/>
      <c r="E3587" s="28"/>
      <c r="F3587" s="28"/>
      <c r="G3587" s="28"/>
      <c r="H3587" s="28"/>
    </row>
    <row r="3588" spans="4:8" s="25" customFormat="1" ht="11.25" customHeight="1">
      <c r="D3588" s="28"/>
      <c r="E3588" s="28"/>
      <c r="F3588" s="28"/>
      <c r="G3588" s="28"/>
      <c r="H3588" s="28"/>
    </row>
    <row r="3589" spans="4:8" s="25" customFormat="1" ht="11.25" customHeight="1">
      <c r="D3589" s="28"/>
      <c r="E3589" s="28"/>
      <c r="F3589" s="28"/>
      <c r="G3589" s="28"/>
      <c r="H3589" s="28"/>
    </row>
    <row r="3590" spans="4:8" s="25" customFormat="1" ht="11.25" customHeight="1">
      <c r="D3590" s="28"/>
      <c r="E3590" s="28"/>
      <c r="F3590" s="28"/>
      <c r="G3590" s="28"/>
      <c r="H3590" s="28"/>
    </row>
    <row r="3591" spans="4:8" s="25" customFormat="1" ht="11.25" customHeight="1">
      <c r="D3591" s="28"/>
      <c r="E3591" s="28"/>
      <c r="F3591" s="28"/>
      <c r="G3591" s="28"/>
      <c r="H3591" s="28"/>
    </row>
    <row r="3592" spans="4:8" s="25" customFormat="1" ht="11.25" customHeight="1">
      <c r="D3592" s="28"/>
      <c r="E3592" s="28"/>
      <c r="F3592" s="28"/>
      <c r="G3592" s="28"/>
      <c r="H3592" s="28"/>
    </row>
    <row r="3593" spans="4:8" s="25" customFormat="1" ht="11.25" customHeight="1">
      <c r="D3593" s="28"/>
      <c r="E3593" s="28"/>
      <c r="F3593" s="28"/>
      <c r="G3593" s="28"/>
      <c r="H3593" s="28"/>
    </row>
    <row r="3594" spans="4:8" s="25" customFormat="1" ht="11.25" customHeight="1">
      <c r="D3594" s="28"/>
      <c r="E3594" s="28"/>
      <c r="F3594" s="28"/>
      <c r="G3594" s="28"/>
      <c r="H3594" s="28"/>
    </row>
    <row r="3595" spans="4:8" s="25" customFormat="1" ht="11.25" customHeight="1">
      <c r="D3595" s="28"/>
      <c r="E3595" s="28"/>
      <c r="F3595" s="28"/>
      <c r="G3595" s="28"/>
      <c r="H3595" s="28"/>
    </row>
    <row r="3596" spans="4:8" s="25" customFormat="1" ht="11.25" customHeight="1">
      <c r="D3596" s="28"/>
      <c r="E3596" s="28"/>
      <c r="F3596" s="28"/>
      <c r="G3596" s="28"/>
      <c r="H3596" s="28"/>
    </row>
    <row r="3597" spans="4:8" s="25" customFormat="1" ht="11.25" customHeight="1">
      <c r="D3597" s="28"/>
      <c r="E3597" s="28"/>
      <c r="F3597" s="28"/>
      <c r="G3597" s="28"/>
      <c r="H3597" s="28"/>
    </row>
    <row r="3598" spans="4:8" s="25" customFormat="1" ht="11.25" customHeight="1">
      <c r="D3598" s="28"/>
      <c r="E3598" s="28"/>
      <c r="F3598" s="28"/>
      <c r="G3598" s="28"/>
      <c r="H3598" s="28"/>
    </row>
    <row r="3599" spans="4:8" s="25" customFormat="1" ht="11.25" customHeight="1">
      <c r="D3599" s="28"/>
      <c r="E3599" s="28"/>
      <c r="F3599" s="28"/>
      <c r="G3599" s="28"/>
      <c r="H3599" s="28"/>
    </row>
    <row r="3600" spans="4:8" s="25" customFormat="1" ht="11.25" customHeight="1">
      <c r="D3600" s="28"/>
      <c r="E3600" s="28"/>
      <c r="F3600" s="28"/>
      <c r="G3600" s="28"/>
      <c r="H3600" s="28"/>
    </row>
    <row r="3601" spans="4:8" s="25" customFormat="1" ht="11.25" customHeight="1">
      <c r="D3601" s="28"/>
      <c r="E3601" s="28"/>
      <c r="F3601" s="28"/>
      <c r="G3601" s="28"/>
      <c r="H3601" s="28"/>
    </row>
    <row r="3602" spans="4:8" s="25" customFormat="1" ht="11.25" customHeight="1">
      <c r="D3602" s="28"/>
      <c r="E3602" s="28"/>
      <c r="F3602" s="28"/>
      <c r="G3602" s="28"/>
      <c r="H3602" s="28"/>
    </row>
    <row r="3603" spans="4:8" s="25" customFormat="1" ht="11.25" customHeight="1">
      <c r="D3603" s="28"/>
      <c r="E3603" s="28"/>
      <c r="F3603" s="28"/>
      <c r="G3603" s="28"/>
      <c r="H3603" s="28"/>
    </row>
    <row r="3604" spans="4:8" s="25" customFormat="1" ht="11.25" customHeight="1">
      <c r="D3604" s="28"/>
      <c r="E3604" s="28"/>
      <c r="F3604" s="28"/>
      <c r="G3604" s="28"/>
      <c r="H3604" s="28"/>
    </row>
    <row r="3605" spans="4:8" s="25" customFormat="1" ht="11.25" customHeight="1">
      <c r="D3605" s="28"/>
      <c r="E3605" s="28"/>
      <c r="F3605" s="28"/>
      <c r="G3605" s="28"/>
      <c r="H3605" s="28"/>
    </row>
    <row r="3606" spans="4:8" s="25" customFormat="1" ht="11.25" customHeight="1">
      <c r="D3606" s="28"/>
      <c r="E3606" s="28"/>
      <c r="F3606" s="28"/>
      <c r="G3606" s="28"/>
      <c r="H3606" s="28"/>
    </row>
    <row r="3607" spans="4:8" s="25" customFormat="1" ht="11.25" customHeight="1">
      <c r="D3607" s="28"/>
      <c r="E3607" s="28"/>
      <c r="F3607" s="28"/>
      <c r="G3607" s="28"/>
      <c r="H3607" s="28"/>
    </row>
    <row r="3608" spans="4:8" s="25" customFormat="1" ht="11.25" customHeight="1">
      <c r="D3608" s="28"/>
      <c r="E3608" s="28"/>
      <c r="F3608" s="28"/>
      <c r="G3608" s="28"/>
      <c r="H3608" s="28"/>
    </row>
    <row r="3609" spans="4:8" s="25" customFormat="1" ht="11.25" customHeight="1">
      <c r="D3609" s="28"/>
      <c r="E3609" s="28"/>
      <c r="F3609" s="28"/>
      <c r="G3609" s="28"/>
      <c r="H3609" s="28"/>
    </row>
    <row r="3610" spans="4:8" s="25" customFormat="1" ht="11.25" customHeight="1">
      <c r="D3610" s="28"/>
      <c r="E3610" s="28"/>
      <c r="F3610" s="28"/>
      <c r="G3610" s="28"/>
      <c r="H3610" s="28"/>
    </row>
    <row r="3611" spans="4:8" s="25" customFormat="1" ht="11.25" customHeight="1">
      <c r="D3611" s="28"/>
      <c r="E3611" s="28"/>
      <c r="F3611" s="28"/>
      <c r="G3611" s="28"/>
      <c r="H3611" s="28"/>
    </row>
    <row r="3612" spans="4:8" s="25" customFormat="1" ht="11.25" customHeight="1">
      <c r="D3612" s="28"/>
      <c r="E3612" s="28"/>
      <c r="F3612" s="28"/>
      <c r="G3612" s="28"/>
      <c r="H3612" s="28"/>
    </row>
    <row r="3613" spans="4:8" s="25" customFormat="1" ht="11.25" customHeight="1">
      <c r="D3613" s="28"/>
      <c r="E3613" s="28"/>
      <c r="F3613" s="28"/>
      <c r="G3613" s="28"/>
      <c r="H3613" s="28"/>
    </row>
    <row r="3614" spans="4:8" s="25" customFormat="1" ht="11.25" customHeight="1">
      <c r="D3614" s="28"/>
      <c r="E3614" s="28"/>
      <c r="F3614" s="28"/>
      <c r="G3614" s="28"/>
      <c r="H3614" s="28"/>
    </row>
    <row r="3615" spans="4:8" s="25" customFormat="1" ht="11.25" customHeight="1">
      <c r="D3615" s="28"/>
      <c r="E3615" s="28"/>
      <c r="F3615" s="28"/>
      <c r="G3615" s="28"/>
      <c r="H3615" s="28"/>
    </row>
    <row r="3616" spans="4:8" s="25" customFormat="1" ht="11.25" customHeight="1">
      <c r="D3616" s="28"/>
      <c r="E3616" s="28"/>
      <c r="F3616" s="28"/>
      <c r="G3616" s="28"/>
      <c r="H3616" s="28"/>
    </row>
    <row r="3617" spans="4:8" s="25" customFormat="1" ht="11.25" customHeight="1">
      <c r="D3617" s="28"/>
      <c r="E3617" s="28"/>
      <c r="F3617" s="28"/>
      <c r="G3617" s="28"/>
      <c r="H3617" s="28"/>
    </row>
    <row r="3618" spans="4:8" s="25" customFormat="1" ht="11.25" customHeight="1">
      <c r="D3618" s="28"/>
      <c r="E3618" s="28"/>
      <c r="F3618" s="28"/>
      <c r="G3618" s="28"/>
      <c r="H3618" s="28"/>
    </row>
    <row r="3619" spans="4:8" s="25" customFormat="1" ht="11.25" customHeight="1">
      <c r="D3619" s="28"/>
      <c r="E3619" s="28"/>
      <c r="F3619" s="28"/>
      <c r="G3619" s="28"/>
      <c r="H3619" s="28"/>
    </row>
    <row r="3620" spans="4:8" s="25" customFormat="1" ht="11.25" customHeight="1">
      <c r="D3620" s="28"/>
      <c r="E3620" s="28"/>
      <c r="F3620" s="28"/>
      <c r="G3620" s="28"/>
      <c r="H3620" s="28"/>
    </row>
    <row r="3621" spans="4:8" s="25" customFormat="1" ht="11.25" customHeight="1">
      <c r="D3621" s="28"/>
      <c r="E3621" s="28"/>
      <c r="F3621" s="28"/>
      <c r="G3621" s="28"/>
      <c r="H3621" s="28"/>
    </row>
    <row r="3622" spans="4:8" s="25" customFormat="1" ht="11.25" customHeight="1">
      <c r="D3622" s="28"/>
      <c r="E3622" s="28"/>
      <c r="F3622" s="28"/>
      <c r="G3622" s="28"/>
      <c r="H3622" s="28"/>
    </row>
    <row r="3623" spans="4:8" s="25" customFormat="1" ht="11.25" customHeight="1">
      <c r="D3623" s="28"/>
      <c r="E3623" s="28"/>
      <c r="F3623" s="28"/>
      <c r="G3623" s="28"/>
      <c r="H3623" s="28"/>
    </row>
    <row r="3624" spans="4:8" s="25" customFormat="1" ht="11.25" customHeight="1">
      <c r="D3624" s="28"/>
      <c r="E3624" s="28"/>
      <c r="F3624" s="28"/>
      <c r="G3624" s="28"/>
      <c r="H3624" s="28"/>
    </row>
    <row r="3625" spans="4:8" s="25" customFormat="1" ht="11.25" customHeight="1">
      <c r="D3625" s="28"/>
      <c r="E3625" s="28"/>
      <c r="F3625" s="28"/>
      <c r="G3625" s="28"/>
      <c r="H3625" s="28"/>
    </row>
    <row r="3626" spans="4:8" s="25" customFormat="1" ht="11.25" customHeight="1">
      <c r="D3626" s="28"/>
      <c r="E3626" s="28"/>
      <c r="F3626" s="28"/>
      <c r="G3626" s="28"/>
      <c r="H3626" s="28"/>
    </row>
    <row r="3627" spans="4:8" s="25" customFormat="1" ht="11.25" customHeight="1">
      <c r="D3627" s="28"/>
      <c r="E3627" s="28"/>
      <c r="F3627" s="28"/>
      <c r="G3627" s="28"/>
      <c r="H3627" s="28"/>
    </row>
    <row r="3628" spans="4:8" s="25" customFormat="1" ht="11.25" customHeight="1">
      <c r="D3628" s="28"/>
      <c r="E3628" s="28"/>
      <c r="F3628" s="28"/>
      <c r="G3628" s="28"/>
      <c r="H3628" s="28"/>
    </row>
    <row r="3629" spans="4:8" s="25" customFormat="1" ht="11.25" customHeight="1">
      <c r="D3629" s="28"/>
      <c r="E3629" s="28"/>
      <c r="F3629" s="28"/>
      <c r="G3629" s="28"/>
      <c r="H3629" s="28"/>
    </row>
    <row r="3630" spans="4:8" s="25" customFormat="1" ht="11.25" customHeight="1">
      <c r="D3630" s="28"/>
      <c r="E3630" s="28"/>
      <c r="F3630" s="28"/>
      <c r="G3630" s="28"/>
      <c r="H3630" s="28"/>
    </row>
    <row r="3631" spans="4:8" s="25" customFormat="1" ht="11.25" customHeight="1">
      <c r="D3631" s="28"/>
      <c r="E3631" s="28"/>
      <c r="F3631" s="28"/>
      <c r="G3631" s="28"/>
      <c r="H3631" s="28"/>
    </row>
    <row r="3632" spans="4:8" s="25" customFormat="1" ht="11.25" customHeight="1">
      <c r="D3632" s="28"/>
      <c r="E3632" s="28"/>
      <c r="F3632" s="28"/>
      <c r="G3632" s="28"/>
      <c r="H3632" s="28"/>
    </row>
    <row r="3633" spans="4:8" s="25" customFormat="1" ht="11.25" customHeight="1">
      <c r="D3633" s="28"/>
      <c r="E3633" s="28"/>
      <c r="F3633" s="28"/>
      <c r="G3633" s="28"/>
      <c r="H3633" s="28"/>
    </row>
    <row r="3634" spans="4:8" s="25" customFormat="1" ht="11.25" customHeight="1">
      <c r="D3634" s="28"/>
      <c r="E3634" s="28"/>
      <c r="F3634" s="28"/>
      <c r="G3634" s="28"/>
      <c r="H3634" s="28"/>
    </row>
    <row r="3635" spans="4:8" s="25" customFormat="1" ht="11.25" customHeight="1">
      <c r="D3635" s="28"/>
      <c r="E3635" s="28"/>
      <c r="F3635" s="28"/>
      <c r="G3635" s="28"/>
      <c r="H3635" s="28"/>
    </row>
    <row r="3636" spans="4:8" s="25" customFormat="1" ht="11.25" customHeight="1">
      <c r="D3636" s="28"/>
      <c r="E3636" s="28"/>
      <c r="F3636" s="28"/>
      <c r="G3636" s="28"/>
      <c r="H3636" s="28"/>
    </row>
    <row r="3637" spans="4:8" s="25" customFormat="1" ht="11.25" customHeight="1">
      <c r="D3637" s="28"/>
      <c r="E3637" s="28"/>
      <c r="F3637" s="28"/>
      <c r="G3637" s="28"/>
      <c r="H3637" s="28"/>
    </row>
    <row r="3638" spans="4:8" s="25" customFormat="1" ht="11.25" customHeight="1">
      <c r="D3638" s="28"/>
      <c r="E3638" s="28"/>
      <c r="F3638" s="28"/>
      <c r="G3638" s="28"/>
      <c r="H3638" s="28"/>
    </row>
    <row r="3639" spans="4:8" s="25" customFormat="1" ht="11.25" customHeight="1">
      <c r="D3639" s="28"/>
      <c r="E3639" s="28"/>
      <c r="F3639" s="28"/>
      <c r="G3639" s="28"/>
      <c r="H3639" s="28"/>
    </row>
    <row r="3640" spans="4:8" s="25" customFormat="1" ht="11.25" customHeight="1">
      <c r="D3640" s="28"/>
      <c r="E3640" s="28"/>
      <c r="F3640" s="28"/>
      <c r="G3640" s="28"/>
      <c r="H3640" s="28"/>
    </row>
    <row r="3641" spans="4:8" s="25" customFormat="1" ht="11.25" customHeight="1">
      <c r="D3641" s="28"/>
      <c r="E3641" s="28"/>
      <c r="F3641" s="28"/>
      <c r="G3641" s="28"/>
      <c r="H3641" s="28"/>
    </row>
    <row r="3642" spans="4:8" s="25" customFormat="1" ht="11.25" customHeight="1">
      <c r="D3642" s="28"/>
      <c r="E3642" s="28"/>
      <c r="F3642" s="28"/>
      <c r="G3642" s="28"/>
      <c r="H3642" s="28"/>
    </row>
    <row r="3643" spans="4:8" s="25" customFormat="1" ht="11.25" customHeight="1">
      <c r="D3643" s="28"/>
      <c r="E3643" s="28"/>
      <c r="F3643" s="28"/>
      <c r="G3643" s="28"/>
      <c r="H3643" s="28"/>
    </row>
    <row r="3644" spans="4:8" s="25" customFormat="1" ht="11.25" customHeight="1">
      <c r="D3644" s="28"/>
      <c r="E3644" s="28"/>
      <c r="F3644" s="28"/>
      <c r="G3644" s="28"/>
      <c r="H3644" s="28"/>
    </row>
    <row r="3645" spans="4:8" s="25" customFormat="1" ht="11.25" customHeight="1">
      <c r="D3645" s="28"/>
      <c r="E3645" s="28"/>
      <c r="F3645" s="28"/>
      <c r="G3645" s="28"/>
      <c r="H3645" s="28"/>
    </row>
    <row r="3646" spans="4:8" s="25" customFormat="1" ht="11.25" customHeight="1">
      <c r="D3646" s="28"/>
      <c r="E3646" s="28"/>
      <c r="F3646" s="28"/>
      <c r="G3646" s="28"/>
      <c r="H3646" s="28"/>
    </row>
    <row r="3647" spans="4:8" s="25" customFormat="1" ht="11.25" customHeight="1">
      <c r="D3647" s="28"/>
      <c r="E3647" s="28"/>
      <c r="F3647" s="28"/>
      <c r="G3647" s="28"/>
      <c r="H3647" s="28"/>
    </row>
    <row r="3648" spans="4:8" s="25" customFormat="1" ht="11.25" customHeight="1">
      <c r="D3648" s="28"/>
      <c r="E3648" s="28"/>
      <c r="F3648" s="28"/>
      <c r="G3648" s="28"/>
      <c r="H3648" s="28"/>
    </row>
    <row r="3649" spans="4:8" s="25" customFormat="1" ht="11.25" customHeight="1">
      <c r="D3649" s="28"/>
      <c r="E3649" s="28"/>
      <c r="F3649" s="28"/>
      <c r="G3649" s="28"/>
      <c r="H3649" s="28"/>
    </row>
    <row r="3650" spans="4:8" s="25" customFormat="1" ht="11.25" customHeight="1">
      <c r="D3650" s="28"/>
      <c r="E3650" s="28"/>
      <c r="F3650" s="28"/>
      <c r="G3650" s="28"/>
      <c r="H3650" s="28"/>
    </row>
    <row r="3651" spans="4:8" s="25" customFormat="1" ht="11.25" customHeight="1">
      <c r="D3651" s="28"/>
      <c r="E3651" s="28"/>
      <c r="F3651" s="28"/>
      <c r="G3651" s="28"/>
      <c r="H3651" s="28"/>
    </row>
    <row r="3652" spans="4:8" s="25" customFormat="1" ht="11.25" customHeight="1">
      <c r="D3652" s="28"/>
      <c r="E3652" s="28"/>
      <c r="F3652" s="28"/>
      <c r="G3652" s="28"/>
      <c r="H3652" s="28"/>
    </row>
    <row r="3653" spans="4:8" s="25" customFormat="1" ht="11.25" customHeight="1">
      <c r="D3653" s="28"/>
      <c r="E3653" s="28"/>
      <c r="F3653" s="28"/>
      <c r="G3653" s="28"/>
      <c r="H3653" s="28"/>
    </row>
    <row r="3654" spans="4:8" s="25" customFormat="1" ht="11.25" customHeight="1">
      <c r="D3654" s="28"/>
      <c r="E3654" s="28"/>
      <c r="F3654" s="28"/>
      <c r="G3654" s="28"/>
      <c r="H3654" s="28"/>
    </row>
    <row r="3655" spans="4:8" s="25" customFormat="1" ht="11.25" customHeight="1">
      <c r="D3655" s="28"/>
      <c r="E3655" s="28"/>
      <c r="F3655" s="28"/>
      <c r="G3655" s="28"/>
      <c r="H3655" s="28"/>
    </row>
    <row r="3656" spans="4:8" s="25" customFormat="1" ht="11.25" customHeight="1">
      <c r="D3656" s="28"/>
      <c r="E3656" s="28"/>
      <c r="F3656" s="28"/>
      <c r="G3656" s="28"/>
      <c r="H3656" s="28"/>
    </row>
    <row r="3657" spans="4:8" s="25" customFormat="1" ht="11.25" customHeight="1">
      <c r="D3657" s="28"/>
      <c r="E3657" s="28"/>
      <c r="F3657" s="28"/>
      <c r="G3657" s="28"/>
      <c r="H3657" s="28"/>
    </row>
    <row r="3658" spans="4:8" s="25" customFormat="1" ht="11.25" customHeight="1">
      <c r="D3658" s="28"/>
      <c r="E3658" s="28"/>
      <c r="F3658" s="28"/>
      <c r="G3658" s="28"/>
      <c r="H3658" s="28"/>
    </row>
    <row r="3659" spans="4:8" s="25" customFormat="1" ht="11.25" customHeight="1">
      <c r="D3659" s="28"/>
      <c r="E3659" s="28"/>
      <c r="F3659" s="28"/>
      <c r="G3659" s="28"/>
      <c r="H3659" s="28"/>
    </row>
    <row r="3660" spans="4:8" s="25" customFormat="1" ht="11.25" customHeight="1">
      <c r="D3660" s="28"/>
      <c r="E3660" s="28"/>
      <c r="F3660" s="28"/>
      <c r="G3660" s="28"/>
      <c r="H3660" s="28"/>
    </row>
    <row r="3661" spans="4:8" s="25" customFormat="1" ht="11.25" customHeight="1">
      <c r="D3661" s="28"/>
      <c r="E3661" s="28"/>
      <c r="F3661" s="28"/>
      <c r="G3661" s="28"/>
      <c r="H3661" s="28"/>
    </row>
    <row r="3662" spans="4:8" s="25" customFormat="1" ht="11.25" customHeight="1">
      <c r="D3662" s="28"/>
      <c r="E3662" s="28"/>
      <c r="F3662" s="28"/>
      <c r="G3662" s="28"/>
      <c r="H3662" s="28"/>
    </row>
    <row r="3663" spans="4:8" s="25" customFormat="1" ht="11.25" customHeight="1">
      <c r="D3663" s="28"/>
      <c r="E3663" s="28"/>
      <c r="F3663" s="28"/>
      <c r="G3663" s="28"/>
      <c r="H3663" s="28"/>
    </row>
    <row r="3664" spans="4:8" s="25" customFormat="1" ht="11.25" customHeight="1">
      <c r="D3664" s="28"/>
      <c r="E3664" s="28"/>
      <c r="F3664" s="28"/>
      <c r="G3664" s="28"/>
      <c r="H3664" s="28"/>
    </row>
    <row r="3665" spans="4:8" s="25" customFormat="1" ht="11.25" customHeight="1">
      <c r="D3665" s="28"/>
      <c r="E3665" s="28"/>
      <c r="F3665" s="28"/>
      <c r="G3665" s="28"/>
      <c r="H3665" s="28"/>
    </row>
    <row r="3666" spans="4:8" s="25" customFormat="1" ht="11.25" customHeight="1">
      <c r="D3666" s="28"/>
      <c r="E3666" s="28"/>
      <c r="F3666" s="28"/>
      <c r="G3666" s="28"/>
      <c r="H3666" s="28"/>
    </row>
    <row r="3667" spans="4:8" s="25" customFormat="1" ht="11.25" customHeight="1">
      <c r="D3667" s="28"/>
      <c r="E3667" s="28"/>
      <c r="F3667" s="28"/>
      <c r="G3667" s="28"/>
      <c r="H3667" s="28"/>
    </row>
    <row r="3668" spans="4:8" s="25" customFormat="1" ht="11.25" customHeight="1">
      <c r="D3668" s="28"/>
      <c r="E3668" s="28"/>
      <c r="F3668" s="28"/>
      <c r="G3668" s="28"/>
      <c r="H3668" s="28"/>
    </row>
    <row r="3669" spans="4:8" s="25" customFormat="1" ht="11.25" customHeight="1">
      <c r="D3669" s="28"/>
      <c r="E3669" s="28"/>
      <c r="F3669" s="28"/>
      <c r="G3669" s="28"/>
      <c r="H3669" s="28"/>
    </row>
    <row r="3670" spans="4:8" s="25" customFormat="1" ht="11.25" customHeight="1">
      <c r="D3670" s="28"/>
      <c r="E3670" s="28"/>
      <c r="F3670" s="28"/>
      <c r="G3670" s="28"/>
      <c r="H3670" s="28"/>
    </row>
    <row r="3671" spans="4:8" s="25" customFormat="1" ht="11.25" customHeight="1">
      <c r="D3671" s="28"/>
      <c r="E3671" s="28"/>
      <c r="F3671" s="28"/>
      <c r="G3671" s="28"/>
      <c r="H3671" s="28"/>
    </row>
    <row r="3672" spans="4:8" s="25" customFormat="1" ht="11.25" customHeight="1">
      <c r="D3672" s="28"/>
      <c r="E3672" s="28"/>
      <c r="F3672" s="28"/>
      <c r="G3672" s="28"/>
      <c r="H3672" s="28"/>
    </row>
    <row r="3673" spans="4:8" s="25" customFormat="1" ht="11.25" customHeight="1">
      <c r="D3673" s="28"/>
      <c r="E3673" s="28"/>
      <c r="F3673" s="28"/>
      <c r="G3673" s="28"/>
      <c r="H3673" s="28"/>
    </row>
    <row r="3674" spans="4:8" s="25" customFormat="1" ht="11.25" customHeight="1">
      <c r="D3674" s="28"/>
      <c r="E3674" s="28"/>
      <c r="F3674" s="28"/>
      <c r="G3674" s="28"/>
      <c r="H3674" s="28"/>
    </row>
    <row r="3675" spans="4:8" s="25" customFormat="1" ht="11.25" customHeight="1">
      <c r="D3675" s="28"/>
      <c r="E3675" s="28"/>
      <c r="F3675" s="28"/>
      <c r="G3675" s="28"/>
      <c r="H3675" s="28"/>
    </row>
    <row r="3676" spans="4:8" s="25" customFormat="1" ht="11.25" customHeight="1">
      <c r="D3676" s="28"/>
      <c r="E3676" s="28"/>
      <c r="F3676" s="28"/>
      <c r="G3676" s="28"/>
      <c r="H3676" s="28"/>
    </row>
    <row r="3677" spans="4:8" s="25" customFormat="1" ht="11.25" customHeight="1">
      <c r="D3677" s="28"/>
      <c r="E3677" s="28"/>
      <c r="F3677" s="28"/>
      <c r="G3677" s="28"/>
      <c r="H3677" s="28"/>
    </row>
    <row r="3678" spans="4:8" s="25" customFormat="1" ht="11.25" customHeight="1">
      <c r="D3678" s="28"/>
      <c r="E3678" s="28"/>
      <c r="F3678" s="28"/>
      <c r="G3678" s="28"/>
      <c r="H3678" s="28"/>
    </row>
    <row r="3679" spans="4:8" s="25" customFormat="1" ht="11.25" customHeight="1">
      <c r="D3679" s="28"/>
      <c r="E3679" s="28"/>
      <c r="F3679" s="28"/>
      <c r="G3679" s="28"/>
      <c r="H3679" s="28"/>
    </row>
    <row r="3680" spans="4:8" s="25" customFormat="1" ht="11.25" customHeight="1">
      <c r="D3680" s="28"/>
      <c r="E3680" s="28"/>
      <c r="F3680" s="28"/>
      <c r="G3680" s="28"/>
      <c r="H3680" s="28"/>
    </row>
    <row r="3681" spans="4:8" s="25" customFormat="1" ht="11.25" customHeight="1">
      <c r="D3681" s="28"/>
      <c r="E3681" s="28"/>
      <c r="F3681" s="28"/>
      <c r="G3681" s="28"/>
      <c r="H3681" s="28"/>
    </row>
    <row r="3682" spans="4:8" s="25" customFormat="1" ht="11.25" customHeight="1">
      <c r="D3682" s="28"/>
      <c r="E3682" s="28"/>
      <c r="F3682" s="28"/>
      <c r="G3682" s="28"/>
      <c r="H3682" s="28"/>
    </row>
    <row r="3683" spans="4:8" s="25" customFormat="1" ht="11.25" customHeight="1">
      <c r="D3683" s="28"/>
      <c r="E3683" s="28"/>
      <c r="F3683" s="28"/>
      <c r="G3683" s="28"/>
      <c r="H3683" s="28"/>
    </row>
    <row r="3684" spans="4:8" s="25" customFormat="1" ht="11.25" customHeight="1">
      <c r="D3684" s="28"/>
      <c r="E3684" s="28"/>
      <c r="F3684" s="28"/>
      <c r="G3684" s="28"/>
      <c r="H3684" s="28"/>
    </row>
    <row r="3685" spans="4:8" s="25" customFormat="1" ht="11.25" customHeight="1">
      <c r="D3685" s="28"/>
      <c r="E3685" s="28"/>
      <c r="F3685" s="28"/>
      <c r="G3685" s="28"/>
      <c r="H3685" s="28"/>
    </row>
    <row r="3686" spans="4:8" s="25" customFormat="1" ht="11.25" customHeight="1">
      <c r="D3686" s="28"/>
      <c r="E3686" s="28"/>
      <c r="F3686" s="28"/>
      <c r="G3686" s="28"/>
      <c r="H3686" s="28"/>
    </row>
    <row r="3687" spans="4:8" s="25" customFormat="1" ht="11.25" customHeight="1">
      <c r="D3687" s="28"/>
      <c r="E3687" s="28"/>
      <c r="F3687" s="28"/>
      <c r="G3687" s="28"/>
      <c r="H3687" s="28"/>
    </row>
    <row r="3688" spans="4:8" s="25" customFormat="1" ht="11.25" customHeight="1">
      <c r="D3688" s="28"/>
      <c r="E3688" s="28"/>
      <c r="F3688" s="28"/>
      <c r="G3688" s="28"/>
      <c r="H3688" s="28"/>
    </row>
    <row r="3689" spans="4:8" s="25" customFormat="1" ht="11.25" customHeight="1">
      <c r="D3689" s="28"/>
      <c r="E3689" s="28"/>
      <c r="F3689" s="28"/>
      <c r="G3689" s="28"/>
      <c r="H3689" s="28"/>
    </row>
    <row r="3690" spans="4:8" s="25" customFormat="1" ht="11.25" customHeight="1">
      <c r="D3690" s="28"/>
      <c r="E3690" s="28"/>
      <c r="F3690" s="28"/>
      <c r="G3690" s="28"/>
      <c r="H3690" s="28"/>
    </row>
    <row r="3691" spans="4:8" s="25" customFormat="1" ht="11.25" customHeight="1">
      <c r="D3691" s="28"/>
      <c r="E3691" s="28"/>
      <c r="F3691" s="28"/>
      <c r="G3691" s="28"/>
      <c r="H3691" s="28"/>
    </row>
    <row r="3692" spans="4:8" s="25" customFormat="1" ht="11.25" customHeight="1">
      <c r="D3692" s="28"/>
      <c r="E3692" s="28"/>
      <c r="F3692" s="28"/>
      <c r="G3692" s="28"/>
      <c r="H3692" s="28"/>
    </row>
    <row r="3693" spans="4:8" s="25" customFormat="1" ht="11.25" customHeight="1">
      <c r="D3693" s="28"/>
      <c r="E3693" s="28"/>
      <c r="F3693" s="28"/>
      <c r="G3693" s="28"/>
      <c r="H3693" s="28"/>
    </row>
    <row r="3694" spans="4:8" s="25" customFormat="1" ht="11.25" customHeight="1">
      <c r="D3694" s="28"/>
      <c r="E3694" s="28"/>
      <c r="F3694" s="28"/>
      <c r="G3694" s="28"/>
      <c r="H3694" s="28"/>
    </row>
    <row r="3695" spans="4:8" s="25" customFormat="1" ht="11.25" customHeight="1">
      <c r="D3695" s="28"/>
      <c r="E3695" s="28"/>
      <c r="F3695" s="28"/>
      <c r="G3695" s="28"/>
      <c r="H3695" s="28"/>
    </row>
    <row r="3696" spans="4:8" s="25" customFormat="1" ht="11.25" customHeight="1">
      <c r="D3696" s="28"/>
      <c r="E3696" s="28"/>
      <c r="F3696" s="28"/>
      <c r="G3696" s="28"/>
      <c r="H3696" s="28"/>
    </row>
    <row r="3697" spans="4:8" s="25" customFormat="1" ht="11.25" customHeight="1">
      <c r="D3697" s="28"/>
      <c r="E3697" s="28"/>
      <c r="F3697" s="28"/>
      <c r="G3697" s="28"/>
      <c r="H3697" s="28"/>
    </row>
    <row r="3698" spans="4:8" s="25" customFormat="1" ht="11.25" customHeight="1">
      <c r="D3698" s="28"/>
      <c r="E3698" s="28"/>
      <c r="F3698" s="28"/>
      <c r="G3698" s="28"/>
      <c r="H3698" s="28"/>
    </row>
    <row r="3699" spans="4:8" s="25" customFormat="1" ht="11.25" customHeight="1">
      <c r="D3699" s="28"/>
      <c r="E3699" s="28"/>
      <c r="F3699" s="28"/>
      <c r="G3699" s="28"/>
      <c r="H3699" s="28"/>
    </row>
    <row r="3700" spans="4:8" s="25" customFormat="1" ht="11.25" customHeight="1">
      <c r="D3700" s="28"/>
      <c r="E3700" s="28"/>
      <c r="F3700" s="28"/>
      <c r="G3700" s="28"/>
      <c r="H3700" s="28"/>
    </row>
    <row r="3701" spans="4:8" s="25" customFormat="1" ht="11.25" customHeight="1">
      <c r="D3701" s="28"/>
      <c r="E3701" s="28"/>
      <c r="F3701" s="28"/>
      <c r="G3701" s="28"/>
      <c r="H3701" s="28"/>
    </row>
    <row r="3702" spans="4:8" s="25" customFormat="1" ht="11.25" customHeight="1">
      <c r="D3702" s="28"/>
      <c r="E3702" s="28"/>
      <c r="F3702" s="28"/>
      <c r="G3702" s="28"/>
      <c r="H3702" s="28"/>
    </row>
    <row r="3703" spans="4:8" s="25" customFormat="1" ht="11.25" customHeight="1">
      <c r="D3703" s="28"/>
      <c r="E3703" s="28"/>
      <c r="F3703" s="28"/>
      <c r="G3703" s="28"/>
      <c r="H3703" s="28"/>
    </row>
    <row r="3704" spans="4:8" s="25" customFormat="1" ht="11.25" customHeight="1">
      <c r="D3704" s="28"/>
      <c r="E3704" s="28"/>
      <c r="F3704" s="28"/>
      <c r="G3704" s="28"/>
      <c r="H3704" s="28"/>
    </row>
    <row r="3705" spans="4:8" s="25" customFormat="1" ht="11.25" customHeight="1">
      <c r="D3705" s="28"/>
      <c r="E3705" s="28"/>
      <c r="F3705" s="28"/>
      <c r="G3705" s="28"/>
      <c r="H3705" s="28"/>
    </row>
    <row r="3706" spans="4:8" s="25" customFormat="1" ht="11.25" customHeight="1">
      <c r="D3706" s="28"/>
      <c r="E3706" s="28"/>
      <c r="F3706" s="28"/>
      <c r="G3706" s="28"/>
      <c r="H3706" s="28"/>
    </row>
    <row r="3707" spans="4:8" s="25" customFormat="1" ht="11.25" customHeight="1">
      <c r="D3707" s="28"/>
      <c r="E3707" s="28"/>
      <c r="F3707" s="28"/>
      <c r="G3707" s="28"/>
      <c r="H3707" s="28"/>
    </row>
    <row r="3708" spans="4:8" s="25" customFormat="1" ht="11.25" customHeight="1">
      <c r="D3708" s="28"/>
      <c r="E3708" s="28"/>
      <c r="F3708" s="28"/>
      <c r="G3708" s="28"/>
      <c r="H3708" s="28"/>
    </row>
    <row r="3709" spans="4:8" s="25" customFormat="1" ht="11.25" customHeight="1">
      <c r="D3709" s="28"/>
      <c r="E3709" s="28"/>
      <c r="F3709" s="28"/>
      <c r="G3709" s="28"/>
      <c r="H3709" s="28"/>
    </row>
    <row r="3710" spans="4:8" s="25" customFormat="1" ht="11.25" customHeight="1">
      <c r="D3710" s="28"/>
      <c r="E3710" s="28"/>
      <c r="F3710" s="28"/>
      <c r="G3710" s="28"/>
      <c r="H3710" s="28"/>
    </row>
    <row r="3711" spans="4:8" s="25" customFormat="1" ht="11.25" customHeight="1">
      <c r="D3711" s="28"/>
      <c r="E3711" s="28"/>
      <c r="F3711" s="28"/>
      <c r="G3711" s="28"/>
      <c r="H3711" s="28"/>
    </row>
    <row r="3712" spans="4:8" s="25" customFormat="1" ht="11.25" customHeight="1">
      <c r="D3712" s="28"/>
      <c r="E3712" s="28"/>
      <c r="F3712" s="28"/>
      <c r="G3712" s="28"/>
      <c r="H3712" s="28"/>
    </row>
    <row r="3713" spans="4:8" s="25" customFormat="1" ht="11.25" customHeight="1">
      <c r="D3713" s="28"/>
      <c r="E3713" s="28"/>
      <c r="F3713" s="28"/>
      <c r="G3713" s="28"/>
      <c r="H3713" s="28"/>
    </row>
    <row r="3714" spans="4:8" s="25" customFormat="1" ht="11.25" customHeight="1">
      <c r="D3714" s="28"/>
      <c r="E3714" s="28"/>
      <c r="F3714" s="28"/>
      <c r="G3714" s="28"/>
      <c r="H3714" s="28"/>
    </row>
    <row r="3715" spans="4:8" s="25" customFormat="1" ht="11.25" customHeight="1">
      <c r="D3715" s="28"/>
      <c r="E3715" s="28"/>
      <c r="F3715" s="28"/>
      <c r="G3715" s="28"/>
      <c r="H3715" s="28"/>
    </row>
    <row r="3716" spans="4:8" s="25" customFormat="1" ht="11.25" customHeight="1">
      <c r="D3716" s="28"/>
      <c r="E3716" s="28"/>
      <c r="F3716" s="28"/>
      <c r="G3716" s="28"/>
      <c r="H3716" s="28"/>
    </row>
    <row r="3717" spans="4:8" s="25" customFormat="1" ht="11.25" customHeight="1">
      <c r="D3717" s="28"/>
      <c r="E3717" s="28"/>
      <c r="F3717" s="28"/>
      <c r="G3717" s="28"/>
      <c r="H3717" s="28"/>
    </row>
    <row r="3718" spans="4:8" s="25" customFormat="1" ht="11.25" customHeight="1">
      <c r="D3718" s="28"/>
      <c r="E3718" s="28"/>
      <c r="F3718" s="28"/>
      <c r="G3718" s="28"/>
      <c r="H3718" s="28"/>
    </row>
    <row r="3719" spans="4:8" s="25" customFormat="1" ht="11.25" customHeight="1">
      <c r="D3719" s="28"/>
      <c r="E3719" s="28"/>
      <c r="F3719" s="28"/>
      <c r="G3719" s="28"/>
      <c r="H3719" s="28"/>
    </row>
    <row r="3720" spans="4:8" s="25" customFormat="1" ht="11.25" customHeight="1">
      <c r="D3720" s="28"/>
      <c r="E3720" s="28"/>
      <c r="F3720" s="28"/>
      <c r="G3720" s="28"/>
      <c r="H3720" s="28"/>
    </row>
    <row r="3721" spans="4:8" s="25" customFormat="1" ht="11.25" customHeight="1">
      <c r="D3721" s="28"/>
      <c r="E3721" s="28"/>
      <c r="F3721" s="28"/>
      <c r="G3721" s="28"/>
      <c r="H3721" s="28"/>
    </row>
    <row r="3722" spans="4:8" s="25" customFormat="1" ht="11.25" customHeight="1">
      <c r="D3722" s="28"/>
      <c r="E3722" s="28"/>
      <c r="F3722" s="28"/>
      <c r="G3722" s="28"/>
      <c r="H3722" s="28"/>
    </row>
    <row r="3723" spans="4:8" s="25" customFormat="1" ht="11.25" customHeight="1">
      <c r="D3723" s="28"/>
      <c r="E3723" s="28"/>
      <c r="F3723" s="28"/>
      <c r="G3723" s="28"/>
      <c r="H3723" s="28"/>
    </row>
    <row r="3724" spans="4:8" s="25" customFormat="1" ht="11.25" customHeight="1">
      <c r="D3724" s="28"/>
      <c r="E3724" s="28"/>
      <c r="F3724" s="28"/>
      <c r="G3724" s="28"/>
      <c r="H3724" s="28"/>
    </row>
    <row r="3725" spans="4:8" s="25" customFormat="1" ht="11.25" customHeight="1">
      <c r="D3725" s="28"/>
      <c r="E3725" s="28"/>
      <c r="F3725" s="28"/>
      <c r="G3725" s="28"/>
      <c r="H3725" s="28"/>
    </row>
    <row r="3726" spans="4:8" s="25" customFormat="1" ht="11.25" customHeight="1">
      <c r="D3726" s="28"/>
      <c r="E3726" s="28"/>
      <c r="F3726" s="28"/>
      <c r="G3726" s="28"/>
      <c r="H3726" s="28"/>
    </row>
    <row r="3727" spans="4:8" s="25" customFormat="1" ht="11.25" customHeight="1">
      <c r="D3727" s="28"/>
      <c r="E3727" s="28"/>
      <c r="F3727" s="28"/>
      <c r="G3727" s="28"/>
      <c r="H3727" s="28"/>
    </row>
    <row r="3728" spans="4:8" s="25" customFormat="1" ht="11.25" customHeight="1">
      <c r="D3728" s="28"/>
      <c r="E3728" s="28"/>
      <c r="F3728" s="28"/>
      <c r="G3728" s="28"/>
      <c r="H3728" s="28"/>
    </row>
    <row r="3729" spans="4:8" s="25" customFormat="1" ht="11.25" customHeight="1">
      <c r="D3729" s="28"/>
      <c r="E3729" s="28"/>
      <c r="F3729" s="28"/>
      <c r="G3729" s="28"/>
      <c r="H3729" s="28"/>
    </row>
    <row r="3730" spans="4:8" s="25" customFormat="1" ht="11.25" customHeight="1">
      <c r="D3730" s="28"/>
      <c r="E3730" s="28"/>
      <c r="F3730" s="28"/>
      <c r="G3730" s="28"/>
      <c r="H3730" s="28"/>
    </row>
    <row r="3731" spans="4:8" s="25" customFormat="1" ht="11.25" customHeight="1">
      <c r="D3731" s="28"/>
      <c r="E3731" s="28"/>
      <c r="F3731" s="28"/>
      <c r="G3731" s="28"/>
      <c r="H3731" s="28"/>
    </row>
    <row r="3732" spans="4:8" s="25" customFormat="1" ht="11.25" customHeight="1">
      <c r="D3732" s="28"/>
      <c r="E3732" s="28"/>
      <c r="F3732" s="28"/>
      <c r="G3732" s="28"/>
      <c r="H3732" s="28"/>
    </row>
    <row r="3733" spans="4:8" s="25" customFormat="1" ht="11.25" customHeight="1">
      <c r="D3733" s="28"/>
      <c r="E3733" s="28"/>
      <c r="F3733" s="28"/>
      <c r="G3733" s="28"/>
      <c r="H3733" s="28"/>
    </row>
    <row r="3734" spans="4:8" s="25" customFormat="1" ht="11.25" customHeight="1">
      <c r="D3734" s="28"/>
      <c r="E3734" s="28"/>
      <c r="F3734" s="28"/>
      <c r="G3734" s="28"/>
      <c r="H3734" s="28"/>
    </row>
    <row r="3735" spans="4:8" s="25" customFormat="1" ht="11.25" customHeight="1">
      <c r="D3735" s="28"/>
      <c r="E3735" s="28"/>
      <c r="F3735" s="28"/>
      <c r="G3735" s="28"/>
      <c r="H3735" s="28"/>
    </row>
    <row r="3736" spans="4:8" s="25" customFormat="1" ht="11.25" customHeight="1">
      <c r="D3736" s="28"/>
      <c r="E3736" s="28"/>
      <c r="F3736" s="28"/>
      <c r="G3736" s="28"/>
      <c r="H3736" s="28"/>
    </row>
    <row r="3737" spans="4:8" s="25" customFormat="1" ht="11.25" customHeight="1">
      <c r="D3737" s="28"/>
      <c r="E3737" s="28"/>
      <c r="F3737" s="28"/>
      <c r="G3737" s="28"/>
      <c r="H3737" s="28"/>
    </row>
    <row r="3738" spans="4:8" s="25" customFormat="1" ht="11.25" customHeight="1">
      <c r="D3738" s="28"/>
      <c r="E3738" s="28"/>
      <c r="F3738" s="28"/>
      <c r="G3738" s="28"/>
      <c r="H3738" s="28"/>
    </row>
    <row r="3739" spans="4:8" s="25" customFormat="1" ht="11.25" customHeight="1">
      <c r="D3739" s="28"/>
      <c r="E3739" s="28"/>
      <c r="F3739" s="28"/>
      <c r="G3739" s="28"/>
      <c r="H3739" s="28"/>
    </row>
    <row r="3740" spans="4:8" s="25" customFormat="1" ht="11.25" customHeight="1">
      <c r="D3740" s="28"/>
      <c r="E3740" s="28"/>
      <c r="F3740" s="28"/>
      <c r="G3740" s="28"/>
      <c r="H3740" s="28"/>
    </row>
    <row r="3741" spans="4:8" s="25" customFormat="1" ht="11.25" customHeight="1">
      <c r="D3741" s="28"/>
      <c r="E3741" s="28"/>
      <c r="F3741" s="28"/>
      <c r="G3741" s="28"/>
      <c r="H3741" s="28"/>
    </row>
    <row r="3742" spans="4:8" s="25" customFormat="1" ht="11.25" customHeight="1">
      <c r="D3742" s="28"/>
      <c r="E3742" s="28"/>
      <c r="F3742" s="28"/>
      <c r="G3742" s="28"/>
      <c r="H3742" s="28"/>
    </row>
    <row r="3743" spans="4:8" s="25" customFormat="1" ht="11.25" customHeight="1">
      <c r="D3743" s="28"/>
      <c r="E3743" s="28"/>
      <c r="F3743" s="28"/>
      <c r="G3743" s="28"/>
      <c r="H3743" s="28"/>
    </row>
    <row r="3744" spans="4:8" s="25" customFormat="1" ht="11.25" customHeight="1">
      <c r="D3744" s="28"/>
      <c r="E3744" s="28"/>
      <c r="F3744" s="28"/>
      <c r="G3744" s="28"/>
      <c r="H3744" s="28"/>
    </row>
    <row r="3745" spans="4:8" s="25" customFormat="1" ht="11.25" customHeight="1">
      <c r="D3745" s="28"/>
      <c r="E3745" s="28"/>
      <c r="F3745" s="28"/>
      <c r="G3745" s="28"/>
      <c r="H3745" s="28"/>
    </row>
    <row r="3746" spans="4:8" s="25" customFormat="1" ht="11.25" customHeight="1">
      <c r="D3746" s="28"/>
      <c r="E3746" s="28"/>
      <c r="F3746" s="28"/>
      <c r="G3746" s="28"/>
      <c r="H3746" s="28"/>
    </row>
    <row r="3747" spans="4:8" s="25" customFormat="1" ht="11.25" customHeight="1">
      <c r="D3747" s="28"/>
      <c r="E3747" s="28"/>
      <c r="F3747" s="28"/>
      <c r="G3747" s="28"/>
      <c r="H3747" s="28"/>
    </row>
    <row r="3748" spans="4:8" s="25" customFormat="1" ht="11.25" customHeight="1">
      <c r="D3748" s="28"/>
      <c r="E3748" s="28"/>
      <c r="F3748" s="28"/>
      <c r="G3748" s="28"/>
      <c r="H3748" s="28"/>
    </row>
    <row r="3749" spans="4:8" s="25" customFormat="1" ht="11.25" customHeight="1">
      <c r="D3749" s="28"/>
      <c r="E3749" s="28"/>
      <c r="F3749" s="28"/>
      <c r="G3749" s="28"/>
      <c r="H3749" s="28"/>
    </row>
    <row r="3750" spans="4:8" s="25" customFormat="1" ht="11.25" customHeight="1">
      <c r="D3750" s="28"/>
      <c r="E3750" s="28"/>
      <c r="F3750" s="28"/>
      <c r="G3750" s="28"/>
      <c r="H3750" s="28"/>
    </row>
    <row r="3751" spans="4:8" s="25" customFormat="1" ht="11.25" customHeight="1">
      <c r="D3751" s="28"/>
      <c r="E3751" s="28"/>
      <c r="F3751" s="28"/>
      <c r="G3751" s="28"/>
      <c r="H3751" s="28"/>
    </row>
    <row r="3752" spans="4:8" s="25" customFormat="1" ht="11.25" customHeight="1">
      <c r="D3752" s="28"/>
      <c r="E3752" s="28"/>
      <c r="F3752" s="28"/>
      <c r="G3752" s="28"/>
      <c r="H3752" s="28"/>
    </row>
    <row r="3753" spans="4:8" s="25" customFormat="1" ht="11.25" customHeight="1">
      <c r="D3753" s="28"/>
      <c r="E3753" s="28"/>
      <c r="F3753" s="28"/>
      <c r="G3753" s="28"/>
      <c r="H3753" s="28"/>
    </row>
    <row r="3754" spans="4:8" s="25" customFormat="1" ht="11.25" customHeight="1">
      <c r="D3754" s="28"/>
      <c r="E3754" s="28"/>
      <c r="F3754" s="28"/>
      <c r="G3754" s="28"/>
      <c r="H3754" s="28"/>
    </row>
    <row r="3755" spans="4:8" s="25" customFormat="1" ht="11.25" customHeight="1">
      <c r="D3755" s="28"/>
      <c r="E3755" s="28"/>
      <c r="F3755" s="28"/>
      <c r="G3755" s="28"/>
      <c r="H3755" s="28"/>
    </row>
    <row r="3756" spans="4:8" s="25" customFormat="1" ht="11.25" customHeight="1">
      <c r="D3756" s="28"/>
      <c r="E3756" s="28"/>
      <c r="F3756" s="28"/>
      <c r="G3756" s="28"/>
      <c r="H3756" s="28"/>
    </row>
    <row r="3757" spans="4:8" s="25" customFormat="1" ht="11.25" customHeight="1">
      <c r="D3757" s="28"/>
      <c r="E3757" s="28"/>
      <c r="F3757" s="28"/>
      <c r="G3757" s="28"/>
      <c r="H3757" s="28"/>
    </row>
    <row r="3758" spans="4:8" s="25" customFormat="1" ht="11.25" customHeight="1">
      <c r="D3758" s="28"/>
      <c r="E3758" s="28"/>
      <c r="F3758" s="28"/>
      <c r="G3758" s="28"/>
      <c r="H3758" s="28"/>
    </row>
    <row r="3759" spans="4:8" s="25" customFormat="1" ht="11.25" customHeight="1">
      <c r="D3759" s="28"/>
      <c r="E3759" s="28"/>
      <c r="F3759" s="28"/>
      <c r="G3759" s="28"/>
      <c r="H3759" s="28"/>
    </row>
    <row r="3760" spans="4:8" s="25" customFormat="1" ht="11.25" customHeight="1">
      <c r="D3760" s="28"/>
      <c r="E3760" s="28"/>
      <c r="F3760" s="28"/>
      <c r="G3760" s="28"/>
      <c r="H3760" s="28"/>
    </row>
    <row r="3761" spans="4:8" s="25" customFormat="1" ht="11.25" customHeight="1">
      <c r="D3761" s="28"/>
      <c r="E3761" s="28"/>
      <c r="F3761" s="28"/>
      <c r="G3761" s="28"/>
      <c r="H3761" s="28"/>
    </row>
    <row r="3762" spans="4:8" s="25" customFormat="1" ht="11.25" customHeight="1">
      <c r="D3762" s="28"/>
      <c r="E3762" s="28"/>
      <c r="F3762" s="28"/>
      <c r="G3762" s="28"/>
      <c r="H3762" s="28"/>
    </row>
    <row r="3763" spans="4:8" s="25" customFormat="1" ht="11.25" customHeight="1">
      <c r="D3763" s="28"/>
      <c r="E3763" s="28"/>
      <c r="F3763" s="28"/>
      <c r="G3763" s="28"/>
      <c r="H3763" s="28"/>
    </row>
    <row r="3764" spans="4:8" s="25" customFormat="1" ht="11.25" customHeight="1">
      <c r="D3764" s="28"/>
      <c r="E3764" s="28"/>
      <c r="F3764" s="28"/>
      <c r="G3764" s="28"/>
      <c r="H3764" s="28"/>
    </row>
    <row r="3765" spans="4:8" s="25" customFormat="1" ht="11.25" customHeight="1">
      <c r="D3765" s="28"/>
      <c r="E3765" s="28"/>
      <c r="F3765" s="28"/>
      <c r="G3765" s="28"/>
      <c r="H3765" s="28"/>
    </row>
    <row r="3766" spans="4:8" s="25" customFormat="1" ht="11.25" customHeight="1">
      <c r="D3766" s="28"/>
      <c r="E3766" s="28"/>
      <c r="F3766" s="28"/>
      <c r="G3766" s="28"/>
      <c r="H3766" s="28"/>
    </row>
    <row r="3767" spans="4:8" s="25" customFormat="1" ht="11.25" customHeight="1">
      <c r="D3767" s="28"/>
      <c r="E3767" s="28"/>
      <c r="F3767" s="28"/>
      <c r="G3767" s="28"/>
      <c r="H3767" s="28"/>
    </row>
    <row r="3768" spans="4:8" s="25" customFormat="1" ht="11.25" customHeight="1">
      <c r="D3768" s="28"/>
      <c r="E3768" s="28"/>
      <c r="F3768" s="28"/>
      <c r="G3768" s="28"/>
      <c r="H3768" s="28"/>
    </row>
    <row r="3769" spans="4:8" s="25" customFormat="1" ht="11.25" customHeight="1">
      <c r="D3769" s="28"/>
      <c r="E3769" s="28"/>
      <c r="F3769" s="28"/>
      <c r="G3769" s="28"/>
      <c r="H3769" s="28"/>
    </row>
    <row r="3770" spans="4:8" s="25" customFormat="1" ht="11.25" customHeight="1">
      <c r="D3770" s="28"/>
      <c r="E3770" s="28"/>
      <c r="F3770" s="28"/>
      <c r="G3770" s="28"/>
      <c r="H3770" s="28"/>
    </row>
    <row r="3771" spans="4:8" s="25" customFormat="1" ht="11.25" customHeight="1">
      <c r="D3771" s="28"/>
      <c r="E3771" s="28"/>
      <c r="F3771" s="28"/>
      <c r="G3771" s="28"/>
      <c r="H3771" s="28"/>
    </row>
    <row r="3772" spans="4:8" s="25" customFormat="1" ht="11.25" customHeight="1">
      <c r="D3772" s="28"/>
      <c r="E3772" s="28"/>
      <c r="F3772" s="28"/>
      <c r="G3772" s="28"/>
      <c r="H3772" s="28"/>
    </row>
    <row r="3773" spans="4:8" s="25" customFormat="1" ht="11.25" customHeight="1">
      <c r="D3773" s="28"/>
      <c r="E3773" s="28"/>
      <c r="F3773" s="28"/>
      <c r="G3773" s="28"/>
      <c r="H3773" s="28"/>
    </row>
    <row r="3774" spans="4:8" s="25" customFormat="1" ht="11.25" customHeight="1">
      <c r="D3774" s="28"/>
      <c r="E3774" s="28"/>
      <c r="F3774" s="28"/>
      <c r="G3774" s="28"/>
      <c r="H3774" s="28"/>
    </row>
    <row r="3775" spans="4:8" s="25" customFormat="1" ht="11.25" customHeight="1">
      <c r="D3775" s="28"/>
      <c r="E3775" s="28"/>
      <c r="F3775" s="28"/>
      <c r="G3775" s="28"/>
      <c r="H3775" s="28"/>
    </row>
    <row r="3776" spans="4:8" s="25" customFormat="1" ht="11.25" customHeight="1">
      <c r="D3776" s="28"/>
      <c r="E3776" s="28"/>
      <c r="F3776" s="28"/>
      <c r="G3776" s="28"/>
      <c r="H3776" s="28"/>
    </row>
    <row r="3777" spans="4:8" s="25" customFormat="1" ht="11.25" customHeight="1">
      <c r="D3777" s="28"/>
      <c r="E3777" s="28"/>
      <c r="F3777" s="28"/>
      <c r="G3777" s="28"/>
      <c r="H3777" s="28"/>
    </row>
    <row r="3778" spans="4:8" s="25" customFormat="1" ht="11.25" customHeight="1">
      <c r="D3778" s="28"/>
      <c r="E3778" s="28"/>
      <c r="F3778" s="28"/>
      <c r="G3778" s="28"/>
      <c r="H3778" s="28"/>
    </row>
    <row r="3779" spans="4:8" s="25" customFormat="1" ht="11.25" customHeight="1">
      <c r="D3779" s="28"/>
      <c r="E3779" s="28"/>
      <c r="F3779" s="28"/>
      <c r="G3779" s="28"/>
      <c r="H3779" s="28"/>
    </row>
    <row r="3780" spans="4:8" s="25" customFormat="1" ht="11.25" customHeight="1">
      <c r="D3780" s="28"/>
      <c r="E3780" s="28"/>
      <c r="F3780" s="28"/>
      <c r="G3780" s="28"/>
      <c r="H3780" s="28"/>
    </row>
    <row r="3781" spans="4:8" s="25" customFormat="1" ht="11.25" customHeight="1">
      <c r="D3781" s="28"/>
      <c r="E3781" s="28"/>
      <c r="F3781" s="28"/>
      <c r="G3781" s="28"/>
      <c r="H3781" s="28"/>
    </row>
    <row r="3782" spans="4:8" s="25" customFormat="1" ht="11.25" customHeight="1">
      <c r="D3782" s="28"/>
      <c r="E3782" s="28"/>
      <c r="F3782" s="28"/>
      <c r="G3782" s="28"/>
      <c r="H3782" s="28"/>
    </row>
    <row r="3783" spans="4:8" s="25" customFormat="1" ht="11.25" customHeight="1">
      <c r="D3783" s="28"/>
      <c r="E3783" s="28"/>
      <c r="F3783" s="28"/>
      <c r="G3783" s="28"/>
      <c r="H3783" s="28"/>
    </row>
    <row r="3784" spans="4:8" s="25" customFormat="1" ht="11.25" customHeight="1">
      <c r="D3784" s="28"/>
      <c r="E3784" s="28"/>
      <c r="F3784" s="28"/>
      <c r="G3784" s="28"/>
      <c r="H3784" s="28"/>
    </row>
    <row r="3785" spans="4:8" s="25" customFormat="1" ht="11.25" customHeight="1">
      <c r="D3785" s="28"/>
      <c r="E3785" s="28"/>
      <c r="F3785" s="28"/>
      <c r="G3785" s="28"/>
      <c r="H3785" s="28"/>
    </row>
    <row r="3786" spans="4:8" s="25" customFormat="1" ht="11.25" customHeight="1">
      <c r="D3786" s="28"/>
      <c r="E3786" s="28"/>
      <c r="F3786" s="28"/>
      <c r="G3786" s="28"/>
      <c r="H3786" s="28"/>
    </row>
    <row r="3787" spans="4:8" s="25" customFormat="1" ht="11.25" customHeight="1">
      <c r="D3787" s="28"/>
      <c r="E3787" s="28"/>
      <c r="F3787" s="28"/>
      <c r="G3787" s="28"/>
      <c r="H3787" s="28"/>
    </row>
    <row r="3788" spans="4:8" s="25" customFormat="1" ht="11.25" customHeight="1">
      <c r="D3788" s="28"/>
      <c r="E3788" s="28"/>
      <c r="F3788" s="28"/>
      <c r="G3788" s="28"/>
      <c r="H3788" s="28"/>
    </row>
    <row r="3789" spans="4:8" s="25" customFormat="1" ht="11.25" customHeight="1">
      <c r="D3789" s="28"/>
      <c r="E3789" s="28"/>
      <c r="F3789" s="28"/>
      <c r="G3789" s="28"/>
      <c r="H3789" s="28"/>
    </row>
    <row r="3790" spans="4:8" s="25" customFormat="1" ht="11.25" customHeight="1">
      <c r="D3790" s="28"/>
      <c r="E3790" s="28"/>
      <c r="F3790" s="28"/>
      <c r="G3790" s="28"/>
      <c r="H3790" s="28"/>
    </row>
    <row r="3791" spans="4:8" s="25" customFormat="1" ht="11.25" customHeight="1">
      <c r="D3791" s="28"/>
      <c r="E3791" s="28"/>
      <c r="F3791" s="28"/>
      <c r="G3791" s="28"/>
      <c r="H3791" s="28"/>
    </row>
    <row r="3792" spans="4:8" s="25" customFormat="1" ht="11.25" customHeight="1">
      <c r="D3792" s="28"/>
      <c r="E3792" s="28"/>
      <c r="F3792" s="28"/>
      <c r="G3792" s="28"/>
      <c r="H3792" s="28"/>
    </row>
    <row r="3793" spans="4:8" s="25" customFormat="1" ht="11.25" customHeight="1">
      <c r="D3793" s="28"/>
      <c r="E3793" s="28"/>
      <c r="F3793" s="28"/>
      <c r="G3793" s="28"/>
      <c r="H3793" s="28"/>
    </row>
    <row r="3794" spans="4:8" s="25" customFormat="1" ht="11.25" customHeight="1">
      <c r="D3794" s="28"/>
      <c r="E3794" s="28"/>
      <c r="F3794" s="28"/>
      <c r="G3794" s="28"/>
      <c r="H3794" s="28"/>
    </row>
    <row r="3795" spans="4:8" s="25" customFormat="1" ht="11.25" customHeight="1">
      <c r="D3795" s="28"/>
      <c r="E3795" s="28"/>
      <c r="F3795" s="28"/>
      <c r="G3795" s="28"/>
      <c r="H3795" s="28"/>
    </row>
    <row r="3796" spans="4:8" s="25" customFormat="1" ht="11.25" customHeight="1">
      <c r="D3796" s="28"/>
      <c r="E3796" s="28"/>
      <c r="F3796" s="28"/>
      <c r="G3796" s="28"/>
      <c r="H3796" s="28"/>
    </row>
    <row r="3797" spans="4:8" s="25" customFormat="1" ht="11.25" customHeight="1">
      <c r="D3797" s="28"/>
      <c r="E3797" s="28"/>
      <c r="F3797" s="28"/>
      <c r="G3797" s="28"/>
      <c r="H3797" s="28"/>
    </row>
    <row r="3798" spans="4:8" s="25" customFormat="1" ht="11.25" customHeight="1">
      <c r="D3798" s="28"/>
      <c r="E3798" s="28"/>
      <c r="F3798" s="28"/>
      <c r="G3798" s="28"/>
      <c r="H3798" s="28"/>
    </row>
    <row r="3799" spans="4:8" s="25" customFormat="1" ht="11.25" customHeight="1">
      <c r="D3799" s="28"/>
      <c r="E3799" s="28"/>
      <c r="F3799" s="28"/>
      <c r="G3799" s="28"/>
      <c r="H3799" s="28"/>
    </row>
    <row r="3800" spans="4:8" s="25" customFormat="1" ht="11.25" customHeight="1">
      <c r="D3800" s="28"/>
      <c r="E3800" s="28"/>
      <c r="F3800" s="28"/>
      <c r="G3800" s="28"/>
      <c r="H3800" s="28"/>
    </row>
    <row r="3801" spans="4:8" s="25" customFormat="1" ht="11.25" customHeight="1">
      <c r="D3801" s="28"/>
      <c r="E3801" s="28"/>
      <c r="F3801" s="28"/>
      <c r="G3801" s="28"/>
      <c r="H3801" s="28"/>
    </row>
    <row r="3802" spans="4:8" s="25" customFormat="1" ht="11.25" customHeight="1">
      <c r="D3802" s="28"/>
      <c r="E3802" s="28"/>
      <c r="F3802" s="28"/>
      <c r="G3802" s="28"/>
      <c r="H3802" s="28"/>
    </row>
    <row r="3803" spans="4:8" s="25" customFormat="1" ht="11.25" customHeight="1">
      <c r="D3803" s="28"/>
      <c r="E3803" s="28"/>
      <c r="F3803" s="28"/>
      <c r="G3803" s="28"/>
      <c r="H3803" s="28"/>
    </row>
    <row r="3804" spans="4:8" s="25" customFormat="1" ht="11.25" customHeight="1">
      <c r="D3804" s="28"/>
      <c r="E3804" s="28"/>
      <c r="F3804" s="28"/>
      <c r="G3804" s="28"/>
      <c r="H3804" s="28"/>
    </row>
    <row r="3805" spans="4:8" s="25" customFormat="1" ht="11.25" customHeight="1">
      <c r="D3805" s="28"/>
      <c r="E3805" s="28"/>
      <c r="F3805" s="28"/>
      <c r="G3805" s="28"/>
      <c r="H3805" s="28"/>
    </row>
    <row r="3806" spans="4:8" s="25" customFormat="1" ht="11.25" customHeight="1">
      <c r="D3806" s="28"/>
      <c r="E3806" s="28"/>
      <c r="F3806" s="28"/>
      <c r="G3806" s="28"/>
      <c r="H3806" s="28"/>
    </row>
    <row r="3807" spans="4:8" s="25" customFormat="1" ht="11.25" customHeight="1">
      <c r="D3807" s="28"/>
      <c r="E3807" s="28"/>
      <c r="F3807" s="28"/>
      <c r="G3807" s="28"/>
      <c r="H3807" s="28"/>
    </row>
    <row r="3808" spans="4:8" s="25" customFormat="1" ht="11.25" customHeight="1">
      <c r="D3808" s="28"/>
      <c r="E3808" s="28"/>
      <c r="F3808" s="28"/>
      <c r="G3808" s="28"/>
      <c r="H3808" s="28"/>
    </row>
    <row r="3809" spans="4:8" s="25" customFormat="1" ht="11.25" customHeight="1">
      <c r="D3809" s="28"/>
      <c r="E3809" s="28"/>
      <c r="F3809" s="28"/>
      <c r="G3809" s="28"/>
      <c r="H3809" s="28"/>
    </row>
    <row r="3810" spans="4:8" s="25" customFormat="1" ht="11.25" customHeight="1">
      <c r="D3810" s="28"/>
      <c r="E3810" s="28"/>
      <c r="F3810" s="28"/>
      <c r="G3810" s="28"/>
      <c r="H3810" s="28"/>
    </row>
    <row r="3811" spans="4:8" s="25" customFormat="1" ht="11.25" customHeight="1">
      <c r="D3811" s="28"/>
      <c r="E3811" s="28"/>
      <c r="F3811" s="28"/>
      <c r="G3811" s="28"/>
      <c r="H3811" s="28"/>
    </row>
    <row r="3812" spans="4:8" s="25" customFormat="1" ht="11.25" customHeight="1">
      <c r="D3812" s="28"/>
      <c r="E3812" s="28"/>
      <c r="F3812" s="28"/>
      <c r="G3812" s="28"/>
      <c r="H3812" s="28"/>
    </row>
    <row r="3813" spans="4:8" s="25" customFormat="1" ht="11.25" customHeight="1">
      <c r="D3813" s="28"/>
      <c r="E3813" s="28"/>
      <c r="F3813" s="28"/>
      <c r="G3813" s="28"/>
      <c r="H3813" s="28"/>
    </row>
    <row r="3814" spans="4:8" s="25" customFormat="1" ht="11.25" customHeight="1">
      <c r="D3814" s="28"/>
      <c r="E3814" s="28"/>
      <c r="F3814" s="28"/>
      <c r="G3814" s="28"/>
      <c r="H3814" s="28"/>
    </row>
    <row r="3815" spans="4:8" s="25" customFormat="1" ht="11.25" customHeight="1">
      <c r="D3815" s="28"/>
      <c r="E3815" s="28"/>
      <c r="F3815" s="28"/>
      <c r="G3815" s="28"/>
      <c r="H3815" s="28"/>
    </row>
    <row r="3816" spans="4:8" s="25" customFormat="1" ht="11.25" customHeight="1">
      <c r="D3816" s="28"/>
      <c r="E3816" s="28"/>
      <c r="F3816" s="28"/>
      <c r="G3816" s="28"/>
      <c r="H3816" s="28"/>
    </row>
    <row r="3817" spans="4:8" s="25" customFormat="1" ht="11.25" customHeight="1">
      <c r="D3817" s="28"/>
      <c r="E3817" s="28"/>
      <c r="F3817" s="28"/>
      <c r="G3817" s="28"/>
      <c r="H3817" s="28"/>
    </row>
    <row r="3818" spans="4:8" s="25" customFormat="1" ht="11.25" customHeight="1">
      <c r="D3818" s="28"/>
      <c r="E3818" s="28"/>
      <c r="F3818" s="28"/>
      <c r="G3818" s="28"/>
      <c r="H3818" s="28"/>
    </row>
    <row r="3819" spans="4:8" s="25" customFormat="1" ht="11.25" customHeight="1">
      <c r="D3819" s="28"/>
      <c r="E3819" s="28"/>
      <c r="F3819" s="28"/>
      <c r="G3819" s="28"/>
      <c r="H3819" s="28"/>
    </row>
    <row r="3820" spans="4:8" s="25" customFormat="1" ht="11.25" customHeight="1">
      <c r="D3820" s="28"/>
      <c r="E3820" s="28"/>
      <c r="F3820" s="28"/>
      <c r="G3820" s="28"/>
      <c r="H3820" s="28"/>
    </row>
    <row r="3821" spans="4:8" s="25" customFormat="1" ht="11.25" customHeight="1">
      <c r="D3821" s="28"/>
      <c r="E3821" s="28"/>
      <c r="F3821" s="28"/>
      <c r="G3821" s="28"/>
      <c r="H3821" s="28"/>
    </row>
    <row r="3822" spans="4:8" s="25" customFormat="1" ht="11.25" customHeight="1">
      <c r="D3822" s="28"/>
      <c r="E3822" s="28"/>
      <c r="F3822" s="28"/>
      <c r="G3822" s="28"/>
      <c r="H3822" s="28"/>
    </row>
    <row r="3823" spans="4:8" s="25" customFormat="1" ht="11.25" customHeight="1">
      <c r="D3823" s="28"/>
      <c r="E3823" s="28"/>
      <c r="F3823" s="28"/>
      <c r="G3823" s="28"/>
      <c r="H3823" s="28"/>
    </row>
    <row r="3824" spans="4:8" s="25" customFormat="1" ht="11.25" customHeight="1">
      <c r="D3824" s="28"/>
      <c r="E3824" s="28"/>
      <c r="F3824" s="28"/>
      <c r="G3824" s="28"/>
      <c r="H3824" s="28"/>
    </row>
    <row r="3825" spans="4:8" s="25" customFormat="1" ht="11.25" customHeight="1">
      <c r="D3825" s="28"/>
      <c r="E3825" s="28"/>
      <c r="F3825" s="28"/>
      <c r="G3825" s="28"/>
      <c r="H3825" s="28"/>
    </row>
    <row r="3826" spans="4:8" s="25" customFormat="1" ht="11.25" customHeight="1">
      <c r="D3826" s="28"/>
      <c r="E3826" s="28"/>
      <c r="F3826" s="28"/>
      <c r="G3826" s="28"/>
      <c r="H3826" s="28"/>
    </row>
    <row r="3827" spans="4:8" s="25" customFormat="1" ht="11.25" customHeight="1">
      <c r="D3827" s="28"/>
      <c r="E3827" s="28"/>
      <c r="F3827" s="28"/>
      <c r="G3827" s="28"/>
      <c r="H3827" s="28"/>
    </row>
    <row r="3828" spans="4:8" s="25" customFormat="1" ht="11.25" customHeight="1">
      <c r="D3828" s="28"/>
      <c r="E3828" s="28"/>
      <c r="F3828" s="28"/>
      <c r="G3828" s="28"/>
      <c r="H3828" s="28"/>
    </row>
    <row r="3829" spans="4:8" s="25" customFormat="1" ht="11.25" customHeight="1">
      <c r="D3829" s="28"/>
      <c r="E3829" s="28"/>
      <c r="F3829" s="28"/>
      <c r="G3829" s="28"/>
      <c r="H3829" s="28"/>
    </row>
    <row r="3830" spans="4:8" s="25" customFormat="1" ht="11.25" customHeight="1">
      <c r="D3830" s="28"/>
      <c r="E3830" s="28"/>
      <c r="F3830" s="28"/>
      <c r="G3830" s="28"/>
      <c r="H3830" s="28"/>
    </row>
    <row r="3831" spans="4:8" s="25" customFormat="1" ht="11.25" customHeight="1">
      <c r="D3831" s="28"/>
      <c r="E3831" s="28"/>
      <c r="F3831" s="28"/>
      <c r="G3831" s="28"/>
      <c r="H3831" s="28"/>
    </row>
    <row r="3832" spans="4:8" s="25" customFormat="1" ht="11.25" customHeight="1">
      <c r="D3832" s="28"/>
      <c r="E3832" s="28"/>
      <c r="F3832" s="28"/>
      <c r="G3832" s="28"/>
      <c r="H3832" s="28"/>
    </row>
    <row r="3833" spans="4:8" s="25" customFormat="1" ht="11.25" customHeight="1">
      <c r="D3833" s="28"/>
      <c r="E3833" s="28"/>
      <c r="F3833" s="28"/>
      <c r="G3833" s="28"/>
      <c r="H3833" s="28"/>
    </row>
    <row r="3834" spans="4:8" s="25" customFormat="1" ht="11.25" customHeight="1">
      <c r="D3834" s="28"/>
      <c r="E3834" s="28"/>
      <c r="F3834" s="28"/>
      <c r="G3834" s="28"/>
      <c r="H3834" s="28"/>
    </row>
    <row r="3835" spans="4:8" s="25" customFormat="1" ht="11.25" customHeight="1">
      <c r="D3835" s="28"/>
      <c r="E3835" s="28"/>
      <c r="F3835" s="28"/>
      <c r="G3835" s="28"/>
      <c r="H3835" s="28"/>
    </row>
    <row r="3836" spans="4:8" s="25" customFormat="1" ht="11.25" customHeight="1">
      <c r="D3836" s="28"/>
      <c r="E3836" s="28"/>
      <c r="F3836" s="28"/>
      <c r="G3836" s="28"/>
      <c r="H3836" s="28"/>
    </row>
    <row r="3837" spans="4:8" s="25" customFormat="1" ht="11.25" customHeight="1">
      <c r="D3837" s="28"/>
      <c r="E3837" s="28"/>
      <c r="F3837" s="28"/>
      <c r="G3837" s="28"/>
      <c r="H3837" s="28"/>
    </row>
    <row r="3838" spans="4:8" s="25" customFormat="1" ht="11.25" customHeight="1">
      <c r="D3838" s="28"/>
      <c r="E3838" s="28"/>
      <c r="F3838" s="28"/>
      <c r="G3838" s="28"/>
      <c r="H3838" s="28"/>
    </row>
    <row r="3839" spans="4:8" s="25" customFormat="1" ht="11.25" customHeight="1">
      <c r="D3839" s="28"/>
      <c r="E3839" s="28"/>
      <c r="F3839" s="28"/>
      <c r="G3839" s="28"/>
      <c r="H3839" s="28"/>
    </row>
    <row r="3840" spans="4:8" s="25" customFormat="1" ht="11.25" customHeight="1">
      <c r="D3840" s="28"/>
      <c r="E3840" s="28"/>
      <c r="F3840" s="28"/>
      <c r="G3840" s="28"/>
      <c r="H3840" s="28"/>
    </row>
    <row r="3841" spans="4:8" s="25" customFormat="1" ht="11.25" customHeight="1">
      <c r="D3841" s="28"/>
      <c r="E3841" s="28"/>
      <c r="F3841" s="28"/>
      <c r="G3841" s="28"/>
      <c r="H3841" s="28"/>
    </row>
    <row r="3842" spans="4:8" s="25" customFormat="1" ht="11.25" customHeight="1">
      <c r="D3842" s="28"/>
      <c r="E3842" s="28"/>
      <c r="F3842" s="28"/>
      <c r="G3842" s="28"/>
      <c r="H3842" s="28"/>
    </row>
    <row r="3843" spans="4:8" s="25" customFormat="1" ht="11.25" customHeight="1">
      <c r="D3843" s="28"/>
      <c r="E3843" s="28"/>
      <c r="F3843" s="28"/>
      <c r="G3843" s="28"/>
      <c r="H3843" s="28"/>
    </row>
    <row r="3844" spans="4:8" s="25" customFormat="1" ht="11.25" customHeight="1">
      <c r="D3844" s="28"/>
      <c r="E3844" s="28"/>
      <c r="F3844" s="28"/>
      <c r="G3844" s="28"/>
      <c r="H3844" s="28"/>
    </row>
    <row r="3845" spans="4:8" s="25" customFormat="1" ht="11.25" customHeight="1">
      <c r="D3845" s="28"/>
      <c r="E3845" s="28"/>
      <c r="F3845" s="28"/>
      <c r="G3845" s="28"/>
      <c r="H3845" s="28"/>
    </row>
    <row r="3846" spans="4:8" s="25" customFormat="1" ht="11.25" customHeight="1">
      <c r="D3846" s="28"/>
      <c r="E3846" s="28"/>
      <c r="F3846" s="28"/>
      <c r="G3846" s="28"/>
      <c r="H3846" s="28"/>
    </row>
    <row r="3847" spans="4:8" s="25" customFormat="1" ht="11.25" customHeight="1">
      <c r="D3847" s="28"/>
      <c r="E3847" s="28"/>
      <c r="F3847" s="28"/>
      <c r="G3847" s="28"/>
      <c r="H3847" s="28"/>
    </row>
    <row r="3848" spans="4:8" s="25" customFormat="1" ht="11.25" customHeight="1">
      <c r="D3848" s="28"/>
      <c r="E3848" s="28"/>
      <c r="F3848" s="28"/>
      <c r="G3848" s="28"/>
      <c r="H3848" s="28"/>
    </row>
    <row r="3849" spans="4:8" s="25" customFormat="1" ht="11.25" customHeight="1">
      <c r="D3849" s="28"/>
      <c r="E3849" s="28"/>
      <c r="F3849" s="28"/>
      <c r="G3849" s="28"/>
      <c r="H3849" s="28"/>
    </row>
    <row r="3850" spans="4:8" s="25" customFormat="1" ht="11.25" customHeight="1">
      <c r="D3850" s="28"/>
      <c r="E3850" s="28"/>
      <c r="F3850" s="28"/>
      <c r="G3850" s="28"/>
      <c r="H3850" s="28"/>
    </row>
    <row r="3851" spans="4:8" s="25" customFormat="1" ht="11.25" customHeight="1">
      <c r="D3851" s="28"/>
      <c r="E3851" s="28"/>
      <c r="F3851" s="28"/>
      <c r="G3851" s="28"/>
      <c r="H3851" s="28"/>
    </row>
    <row r="3852" spans="4:8" s="25" customFormat="1" ht="11.25" customHeight="1">
      <c r="D3852" s="28"/>
      <c r="E3852" s="28"/>
      <c r="F3852" s="28"/>
      <c r="G3852" s="28"/>
      <c r="H3852" s="28"/>
    </row>
    <row r="3853" spans="4:8" s="25" customFormat="1" ht="11.25" customHeight="1">
      <c r="D3853" s="28"/>
      <c r="E3853" s="28"/>
      <c r="F3853" s="28"/>
      <c r="G3853" s="28"/>
      <c r="H3853" s="28"/>
    </row>
    <row r="3854" spans="4:8" s="25" customFormat="1" ht="11.25" customHeight="1">
      <c r="D3854" s="28"/>
      <c r="E3854" s="28"/>
      <c r="F3854" s="28"/>
      <c r="G3854" s="28"/>
      <c r="H3854" s="28"/>
    </row>
    <row r="3855" spans="4:8" s="25" customFormat="1" ht="11.25" customHeight="1">
      <c r="D3855" s="28"/>
      <c r="E3855" s="28"/>
      <c r="F3855" s="28"/>
      <c r="G3855" s="28"/>
      <c r="H3855" s="28"/>
    </row>
    <row r="3856" spans="4:8" s="25" customFormat="1" ht="11.25" customHeight="1">
      <c r="D3856" s="28"/>
      <c r="E3856" s="28"/>
      <c r="F3856" s="28"/>
      <c r="G3856" s="28"/>
      <c r="H3856" s="28"/>
    </row>
    <row r="3857" spans="4:8" s="25" customFormat="1" ht="11.25" customHeight="1">
      <c r="D3857" s="28"/>
      <c r="E3857" s="28"/>
      <c r="F3857" s="28"/>
      <c r="G3857" s="28"/>
      <c r="H3857" s="28"/>
    </row>
    <row r="3858" spans="4:8" s="25" customFormat="1" ht="11.25" customHeight="1">
      <c r="D3858" s="28"/>
      <c r="E3858" s="28"/>
      <c r="F3858" s="28"/>
      <c r="G3858" s="28"/>
      <c r="H3858" s="28"/>
    </row>
    <row r="3859" spans="4:8" s="25" customFormat="1" ht="11.25" customHeight="1">
      <c r="D3859" s="28"/>
      <c r="E3859" s="28"/>
      <c r="F3859" s="28"/>
      <c r="G3859" s="28"/>
      <c r="H3859" s="28"/>
    </row>
    <row r="3860" spans="4:8" s="25" customFormat="1" ht="11.25" customHeight="1">
      <c r="D3860" s="28"/>
      <c r="E3860" s="28"/>
      <c r="F3860" s="28"/>
      <c r="G3860" s="28"/>
      <c r="H3860" s="28"/>
    </row>
    <row r="3861" spans="4:8" s="25" customFormat="1" ht="11.25" customHeight="1">
      <c r="D3861" s="28"/>
      <c r="E3861" s="28"/>
      <c r="F3861" s="28"/>
      <c r="G3861" s="28"/>
      <c r="H3861" s="28"/>
    </row>
    <row r="3862" spans="4:8" s="25" customFormat="1" ht="11.25" customHeight="1">
      <c r="D3862" s="28"/>
      <c r="E3862" s="28"/>
      <c r="F3862" s="28"/>
      <c r="G3862" s="28"/>
      <c r="H3862" s="28"/>
    </row>
    <row r="3863" spans="4:8" s="25" customFormat="1" ht="11.25" customHeight="1">
      <c r="D3863" s="28"/>
      <c r="E3863" s="28"/>
      <c r="F3863" s="28"/>
      <c r="G3863" s="28"/>
      <c r="H3863" s="28"/>
    </row>
    <row r="3864" spans="4:8" s="25" customFormat="1" ht="11.25" customHeight="1">
      <c r="D3864" s="28"/>
      <c r="E3864" s="28"/>
      <c r="F3864" s="28"/>
      <c r="G3864" s="28"/>
      <c r="H3864" s="28"/>
    </row>
    <row r="3865" spans="4:8" s="25" customFormat="1" ht="11.25" customHeight="1">
      <c r="D3865" s="28"/>
      <c r="E3865" s="28"/>
      <c r="F3865" s="28"/>
      <c r="G3865" s="28"/>
      <c r="H3865" s="28"/>
    </row>
    <row r="3866" spans="4:8" s="25" customFormat="1" ht="11.25" customHeight="1">
      <c r="D3866" s="28"/>
      <c r="E3866" s="28"/>
      <c r="F3866" s="28"/>
      <c r="G3866" s="28"/>
      <c r="H3866" s="28"/>
    </row>
    <row r="3867" spans="4:8" s="25" customFormat="1" ht="11.25" customHeight="1">
      <c r="D3867" s="28"/>
      <c r="E3867" s="28"/>
      <c r="F3867" s="28"/>
      <c r="G3867" s="28"/>
      <c r="H3867" s="28"/>
    </row>
    <row r="3868" spans="4:8" s="25" customFormat="1" ht="11.25" customHeight="1">
      <c r="D3868" s="28"/>
      <c r="E3868" s="28"/>
      <c r="F3868" s="28"/>
      <c r="G3868" s="28"/>
      <c r="H3868" s="28"/>
    </row>
    <row r="3869" spans="4:8" s="25" customFormat="1" ht="11.25" customHeight="1">
      <c r="D3869" s="28"/>
      <c r="E3869" s="28"/>
      <c r="F3869" s="28"/>
      <c r="G3869" s="28"/>
      <c r="H3869" s="28"/>
    </row>
    <row r="3870" spans="4:8" s="25" customFormat="1" ht="11.25" customHeight="1">
      <c r="D3870" s="28"/>
      <c r="E3870" s="28"/>
      <c r="F3870" s="28"/>
      <c r="G3870" s="28"/>
      <c r="H3870" s="28"/>
    </row>
    <row r="3871" spans="4:8" s="25" customFormat="1" ht="11.25" customHeight="1">
      <c r="D3871" s="28"/>
      <c r="E3871" s="28"/>
      <c r="F3871" s="28"/>
      <c r="G3871" s="28"/>
      <c r="H3871" s="28"/>
    </row>
    <row r="3872" spans="4:8" s="25" customFormat="1" ht="11.25" customHeight="1">
      <c r="D3872" s="28"/>
      <c r="E3872" s="28"/>
      <c r="F3872" s="28"/>
      <c r="G3872" s="28"/>
      <c r="H3872" s="28"/>
    </row>
    <row r="3873" spans="4:8" s="25" customFormat="1" ht="11.25" customHeight="1">
      <c r="D3873" s="28"/>
      <c r="E3873" s="28"/>
      <c r="F3873" s="28"/>
      <c r="G3873" s="28"/>
      <c r="H3873" s="28"/>
    </row>
    <row r="3874" spans="4:8" s="25" customFormat="1" ht="11.25" customHeight="1">
      <c r="D3874" s="28"/>
      <c r="E3874" s="28"/>
      <c r="F3874" s="28"/>
      <c r="G3874" s="28"/>
      <c r="H3874" s="28"/>
    </row>
    <row r="3875" spans="4:8" s="25" customFormat="1" ht="11.25" customHeight="1">
      <c r="D3875" s="28"/>
      <c r="E3875" s="28"/>
      <c r="F3875" s="28"/>
      <c r="G3875" s="28"/>
      <c r="H3875" s="28"/>
    </row>
    <row r="3876" spans="4:8" s="25" customFormat="1" ht="11.25" customHeight="1">
      <c r="D3876" s="28"/>
      <c r="E3876" s="28"/>
      <c r="F3876" s="28"/>
      <c r="G3876" s="28"/>
      <c r="H3876" s="28"/>
    </row>
    <row r="3877" spans="4:8" s="25" customFormat="1" ht="11.25" customHeight="1">
      <c r="D3877" s="28"/>
      <c r="E3877" s="28"/>
      <c r="F3877" s="28"/>
      <c r="G3877" s="28"/>
      <c r="H3877" s="28"/>
    </row>
    <row r="3878" spans="4:8" s="25" customFormat="1" ht="11.25" customHeight="1">
      <c r="D3878" s="28"/>
      <c r="E3878" s="28"/>
      <c r="F3878" s="28"/>
      <c r="G3878" s="28"/>
      <c r="H3878" s="28"/>
    </row>
    <row r="3879" spans="4:8" s="25" customFormat="1" ht="11.25" customHeight="1">
      <c r="D3879" s="28"/>
      <c r="E3879" s="28"/>
      <c r="F3879" s="28"/>
      <c r="G3879" s="28"/>
      <c r="H3879" s="28"/>
    </row>
    <row r="3880" spans="4:8" s="25" customFormat="1" ht="11.25" customHeight="1">
      <c r="D3880" s="28"/>
      <c r="E3880" s="28"/>
      <c r="F3880" s="28"/>
      <c r="G3880" s="28"/>
      <c r="H3880" s="28"/>
    </row>
    <row r="3881" spans="4:8" s="25" customFormat="1" ht="11.25" customHeight="1">
      <c r="D3881" s="28"/>
      <c r="E3881" s="28"/>
      <c r="F3881" s="28"/>
      <c r="G3881" s="28"/>
      <c r="H3881" s="28"/>
    </row>
    <row r="3882" spans="4:8" s="25" customFormat="1" ht="11.25" customHeight="1">
      <c r="D3882" s="28"/>
      <c r="E3882" s="28"/>
      <c r="F3882" s="28"/>
      <c r="G3882" s="28"/>
      <c r="H3882" s="28"/>
    </row>
    <row r="3883" spans="4:8" s="25" customFormat="1" ht="11.25" customHeight="1">
      <c r="D3883" s="28"/>
      <c r="E3883" s="28"/>
      <c r="F3883" s="28"/>
      <c r="G3883" s="28"/>
      <c r="H3883" s="28"/>
    </row>
    <row r="3884" spans="4:8" s="25" customFormat="1" ht="11.25" customHeight="1">
      <c r="D3884" s="28"/>
      <c r="E3884" s="28"/>
      <c r="F3884" s="28"/>
      <c r="G3884" s="28"/>
      <c r="H3884" s="28"/>
    </row>
    <row r="3885" spans="4:8" s="25" customFormat="1" ht="11.25" customHeight="1">
      <c r="D3885" s="28"/>
      <c r="E3885" s="28"/>
      <c r="F3885" s="28"/>
      <c r="G3885" s="28"/>
      <c r="H3885" s="28"/>
    </row>
    <row r="3886" spans="4:8" s="25" customFormat="1" ht="11.25" customHeight="1">
      <c r="D3886" s="28"/>
      <c r="E3886" s="28"/>
      <c r="F3886" s="28"/>
      <c r="G3886" s="28"/>
      <c r="H3886" s="28"/>
    </row>
    <row r="3887" spans="4:8" s="25" customFormat="1" ht="11.25" customHeight="1">
      <c r="D3887" s="28"/>
      <c r="E3887" s="28"/>
      <c r="F3887" s="28"/>
      <c r="G3887" s="28"/>
      <c r="H3887" s="28"/>
    </row>
    <row r="3888" spans="4:8" s="25" customFormat="1" ht="11.25" customHeight="1">
      <c r="D3888" s="28"/>
      <c r="E3888" s="28"/>
      <c r="F3888" s="28"/>
      <c r="G3888" s="28"/>
      <c r="H3888" s="28"/>
    </row>
    <row r="3889" spans="4:8" s="25" customFormat="1" ht="11.25" customHeight="1">
      <c r="D3889" s="28"/>
      <c r="E3889" s="28"/>
      <c r="F3889" s="28"/>
      <c r="G3889" s="28"/>
      <c r="H3889" s="28"/>
    </row>
    <row r="3890" spans="4:8" s="25" customFormat="1" ht="11.25" customHeight="1">
      <c r="D3890" s="28"/>
      <c r="E3890" s="28"/>
      <c r="F3890" s="28"/>
      <c r="G3890" s="28"/>
      <c r="H3890" s="28"/>
    </row>
    <row r="3891" spans="4:8" s="25" customFormat="1" ht="11.25" customHeight="1">
      <c r="D3891" s="28"/>
      <c r="E3891" s="28"/>
      <c r="F3891" s="28"/>
      <c r="G3891" s="28"/>
      <c r="H3891" s="28"/>
    </row>
    <row r="3892" spans="4:8" s="25" customFormat="1" ht="11.25" customHeight="1">
      <c r="D3892" s="28"/>
      <c r="E3892" s="28"/>
      <c r="F3892" s="28"/>
      <c r="G3892" s="28"/>
      <c r="H3892" s="28"/>
    </row>
    <row r="3893" spans="4:8" s="25" customFormat="1" ht="11.25" customHeight="1">
      <c r="D3893" s="28"/>
      <c r="E3893" s="28"/>
      <c r="F3893" s="28"/>
      <c r="G3893" s="28"/>
      <c r="H3893" s="28"/>
    </row>
    <row r="3894" spans="4:8" s="25" customFormat="1" ht="11.25" customHeight="1">
      <c r="D3894" s="28"/>
      <c r="E3894" s="28"/>
      <c r="F3894" s="28"/>
      <c r="G3894" s="28"/>
      <c r="H3894" s="28"/>
    </row>
    <row r="3895" spans="4:8" s="25" customFormat="1" ht="11.25" customHeight="1">
      <c r="D3895" s="28"/>
      <c r="E3895" s="28"/>
      <c r="F3895" s="28"/>
      <c r="G3895" s="28"/>
      <c r="H3895" s="28"/>
    </row>
    <row r="3896" spans="4:8" s="25" customFormat="1" ht="11.25" customHeight="1">
      <c r="D3896" s="28"/>
      <c r="E3896" s="28"/>
      <c r="F3896" s="28"/>
      <c r="G3896" s="28"/>
      <c r="H3896" s="28"/>
    </row>
    <row r="3897" spans="4:8" s="25" customFormat="1" ht="11.25" customHeight="1">
      <c r="D3897" s="28"/>
      <c r="E3897" s="28"/>
      <c r="F3897" s="28"/>
      <c r="G3897" s="28"/>
      <c r="H3897" s="28"/>
    </row>
    <row r="3898" spans="4:8" s="25" customFormat="1" ht="11.25" customHeight="1">
      <c r="D3898" s="28"/>
      <c r="E3898" s="28"/>
      <c r="F3898" s="28"/>
      <c r="G3898" s="28"/>
      <c r="H3898" s="28"/>
    </row>
    <row r="3899" spans="4:8" s="25" customFormat="1" ht="11.25" customHeight="1">
      <c r="D3899" s="28"/>
      <c r="E3899" s="28"/>
      <c r="F3899" s="28"/>
      <c r="G3899" s="28"/>
      <c r="H3899" s="28"/>
    </row>
    <row r="3900" spans="4:8" s="25" customFormat="1" ht="11.25" customHeight="1">
      <c r="D3900" s="28"/>
      <c r="E3900" s="28"/>
      <c r="F3900" s="28"/>
      <c r="G3900" s="28"/>
      <c r="H3900" s="28"/>
    </row>
    <row r="3901" spans="4:8" s="25" customFormat="1" ht="11.25" customHeight="1">
      <c r="D3901" s="28"/>
      <c r="E3901" s="28"/>
      <c r="F3901" s="28"/>
      <c r="G3901" s="28"/>
      <c r="H3901" s="28"/>
    </row>
    <row r="3902" spans="4:8" s="25" customFormat="1" ht="11.25" customHeight="1">
      <c r="D3902" s="28"/>
      <c r="E3902" s="28"/>
      <c r="F3902" s="28"/>
      <c r="G3902" s="28"/>
      <c r="H3902" s="28"/>
    </row>
    <row r="3903" spans="4:8" s="25" customFormat="1" ht="11.25" customHeight="1">
      <c r="D3903" s="28"/>
      <c r="E3903" s="28"/>
      <c r="F3903" s="28"/>
      <c r="G3903" s="28"/>
      <c r="H3903" s="28"/>
    </row>
    <row r="3904" spans="4:8" s="25" customFormat="1" ht="11.25" customHeight="1">
      <c r="D3904" s="28"/>
      <c r="E3904" s="28"/>
      <c r="F3904" s="28"/>
      <c r="G3904" s="28"/>
      <c r="H3904" s="28"/>
    </row>
    <row r="3905" spans="4:8" s="25" customFormat="1" ht="11.25" customHeight="1">
      <c r="D3905" s="28"/>
      <c r="E3905" s="28"/>
      <c r="F3905" s="28"/>
      <c r="G3905" s="28"/>
      <c r="H3905" s="28"/>
    </row>
    <row r="3906" spans="4:8" s="25" customFormat="1" ht="11.25" customHeight="1">
      <c r="D3906" s="28"/>
      <c r="E3906" s="28"/>
      <c r="F3906" s="28"/>
      <c r="G3906" s="28"/>
      <c r="H3906" s="28"/>
    </row>
    <row r="3907" spans="4:8" s="25" customFormat="1" ht="11.25" customHeight="1">
      <c r="D3907" s="28"/>
      <c r="E3907" s="28"/>
      <c r="F3907" s="28"/>
      <c r="G3907" s="28"/>
      <c r="H3907" s="28"/>
    </row>
    <row r="3908" spans="4:8" s="25" customFormat="1" ht="11.25" customHeight="1">
      <c r="D3908" s="28"/>
      <c r="E3908" s="28"/>
      <c r="F3908" s="28"/>
      <c r="G3908" s="28"/>
      <c r="H3908" s="28"/>
    </row>
    <row r="3909" spans="4:8" s="25" customFormat="1" ht="11.25" customHeight="1">
      <c r="D3909" s="28"/>
      <c r="E3909" s="28"/>
      <c r="F3909" s="28"/>
      <c r="G3909" s="28"/>
      <c r="H3909" s="28"/>
    </row>
    <row r="3910" spans="4:8" s="25" customFormat="1" ht="11.25" customHeight="1">
      <c r="D3910" s="28"/>
      <c r="E3910" s="28"/>
      <c r="F3910" s="28"/>
      <c r="G3910" s="28"/>
      <c r="H3910" s="28"/>
    </row>
    <row r="3911" spans="4:8" s="25" customFormat="1" ht="11.25" customHeight="1">
      <c r="D3911" s="28"/>
      <c r="E3911" s="28"/>
      <c r="F3911" s="28"/>
      <c r="G3911" s="28"/>
      <c r="H3911" s="28"/>
    </row>
    <row r="3912" spans="4:8" s="25" customFormat="1" ht="11.25" customHeight="1">
      <c r="D3912" s="28"/>
      <c r="E3912" s="28"/>
      <c r="F3912" s="28"/>
      <c r="G3912" s="28"/>
      <c r="H3912" s="28"/>
    </row>
    <row r="3913" spans="4:8" s="25" customFormat="1" ht="11.25" customHeight="1">
      <c r="D3913" s="28"/>
      <c r="E3913" s="28"/>
      <c r="F3913" s="28"/>
      <c r="G3913" s="28"/>
      <c r="H3913" s="28"/>
    </row>
    <row r="3914" spans="4:8" s="25" customFormat="1" ht="11.25" customHeight="1">
      <c r="D3914" s="28"/>
      <c r="E3914" s="28"/>
      <c r="F3914" s="28"/>
      <c r="G3914" s="28"/>
      <c r="H3914" s="28"/>
    </row>
    <row r="3915" spans="4:8" s="25" customFormat="1" ht="11.25" customHeight="1">
      <c r="D3915" s="28"/>
      <c r="E3915" s="28"/>
      <c r="F3915" s="28"/>
      <c r="G3915" s="28"/>
      <c r="H3915" s="28"/>
    </row>
    <row r="3916" spans="4:8" s="25" customFormat="1" ht="11.25" customHeight="1">
      <c r="D3916" s="28"/>
      <c r="E3916" s="28"/>
      <c r="F3916" s="28"/>
      <c r="G3916" s="28"/>
      <c r="H3916" s="28"/>
    </row>
    <row r="3917" spans="4:8" s="25" customFormat="1" ht="11.25" customHeight="1">
      <c r="D3917" s="28"/>
      <c r="E3917" s="28"/>
      <c r="F3917" s="28"/>
      <c r="G3917" s="28"/>
      <c r="H3917" s="28"/>
    </row>
    <row r="3918" spans="4:8" s="25" customFormat="1" ht="11.25" customHeight="1">
      <c r="D3918" s="28"/>
      <c r="E3918" s="28"/>
      <c r="F3918" s="28"/>
      <c r="G3918" s="28"/>
      <c r="H3918" s="28"/>
    </row>
    <row r="3919" spans="4:8" s="25" customFormat="1" ht="11.25" customHeight="1">
      <c r="D3919" s="28"/>
      <c r="E3919" s="28"/>
      <c r="F3919" s="28"/>
      <c r="G3919" s="28"/>
      <c r="H3919" s="28"/>
    </row>
    <row r="3920" spans="4:8" s="25" customFormat="1" ht="11.25" customHeight="1">
      <c r="D3920" s="28"/>
      <c r="E3920" s="28"/>
      <c r="F3920" s="28"/>
      <c r="G3920" s="28"/>
      <c r="H3920" s="28"/>
    </row>
    <row r="3921" spans="4:8" s="25" customFormat="1" ht="11.25" customHeight="1">
      <c r="D3921" s="28"/>
      <c r="E3921" s="28"/>
      <c r="F3921" s="28"/>
      <c r="G3921" s="28"/>
      <c r="H3921" s="28"/>
    </row>
    <row r="3922" spans="4:8" s="25" customFormat="1" ht="11.25" customHeight="1">
      <c r="D3922" s="28"/>
      <c r="E3922" s="28"/>
      <c r="F3922" s="28"/>
      <c r="G3922" s="28"/>
      <c r="H3922" s="28"/>
    </row>
    <row r="3923" spans="4:8" s="25" customFormat="1" ht="11.25" customHeight="1">
      <c r="D3923" s="28"/>
      <c r="E3923" s="28"/>
      <c r="F3923" s="28"/>
      <c r="G3923" s="28"/>
      <c r="H3923" s="28"/>
    </row>
    <row r="3924" spans="4:8" s="25" customFormat="1" ht="11.25" customHeight="1">
      <c r="D3924" s="28"/>
      <c r="E3924" s="28"/>
      <c r="F3924" s="28"/>
      <c r="G3924" s="28"/>
      <c r="H3924" s="28"/>
    </row>
    <row r="3925" spans="4:8" s="25" customFormat="1" ht="11.25" customHeight="1">
      <c r="D3925" s="28"/>
      <c r="E3925" s="28"/>
      <c r="F3925" s="28"/>
      <c r="G3925" s="28"/>
      <c r="H3925" s="28"/>
    </row>
    <row r="3926" spans="4:8" s="25" customFormat="1" ht="11.25" customHeight="1">
      <c r="D3926" s="28"/>
      <c r="E3926" s="28"/>
      <c r="F3926" s="28"/>
      <c r="G3926" s="28"/>
      <c r="H3926" s="28"/>
    </row>
    <row r="3927" spans="4:8" s="25" customFormat="1" ht="11.25" customHeight="1">
      <c r="D3927" s="28"/>
      <c r="E3927" s="28"/>
      <c r="F3927" s="28"/>
      <c r="G3927" s="28"/>
      <c r="H3927" s="28"/>
    </row>
    <row r="3928" spans="4:8" s="25" customFormat="1" ht="11.25" customHeight="1">
      <c r="D3928" s="28"/>
      <c r="E3928" s="28"/>
      <c r="F3928" s="28"/>
      <c r="G3928" s="28"/>
      <c r="H3928" s="28"/>
    </row>
    <row r="3929" spans="4:8" s="25" customFormat="1" ht="11.25" customHeight="1">
      <c r="D3929" s="28"/>
      <c r="E3929" s="28"/>
      <c r="F3929" s="28"/>
      <c r="G3929" s="28"/>
      <c r="H3929" s="28"/>
    </row>
    <row r="3930" spans="4:8" s="25" customFormat="1" ht="11.25" customHeight="1">
      <c r="D3930" s="28"/>
      <c r="E3930" s="28"/>
      <c r="F3930" s="28"/>
      <c r="G3930" s="28"/>
      <c r="H3930" s="28"/>
    </row>
    <row r="3931" spans="4:8" s="25" customFormat="1" ht="11.25" customHeight="1">
      <c r="D3931" s="28"/>
      <c r="E3931" s="28"/>
      <c r="F3931" s="28"/>
      <c r="G3931" s="28"/>
      <c r="H3931" s="28"/>
    </row>
    <row r="3932" spans="4:8" s="25" customFormat="1" ht="11.25" customHeight="1">
      <c r="D3932" s="28"/>
      <c r="E3932" s="28"/>
      <c r="F3932" s="28"/>
      <c r="G3932" s="28"/>
      <c r="H3932" s="28"/>
    </row>
    <row r="3933" spans="4:8" s="25" customFormat="1" ht="11.25" customHeight="1">
      <c r="D3933" s="28"/>
      <c r="E3933" s="28"/>
      <c r="F3933" s="28"/>
      <c r="G3933" s="28"/>
      <c r="H3933" s="28"/>
    </row>
    <row r="3934" spans="4:8" s="25" customFormat="1" ht="11.25" customHeight="1">
      <c r="D3934" s="28"/>
      <c r="E3934" s="28"/>
      <c r="F3934" s="28"/>
      <c r="G3934" s="28"/>
      <c r="H3934" s="28"/>
    </row>
    <row r="3935" spans="4:8" s="25" customFormat="1" ht="11.25" customHeight="1">
      <c r="D3935" s="28"/>
      <c r="E3935" s="28"/>
      <c r="F3935" s="28"/>
      <c r="G3935" s="28"/>
      <c r="H3935" s="28"/>
    </row>
    <row r="3936" spans="4:8" s="25" customFormat="1" ht="11.25" customHeight="1">
      <c r="D3936" s="28"/>
      <c r="E3936" s="28"/>
      <c r="F3936" s="28"/>
      <c r="G3936" s="28"/>
      <c r="H3936" s="28"/>
    </row>
    <row r="3937" spans="4:8" s="25" customFormat="1" ht="11.25" customHeight="1">
      <c r="D3937" s="28"/>
      <c r="E3937" s="28"/>
      <c r="F3937" s="28"/>
      <c r="G3937" s="28"/>
      <c r="H3937" s="28"/>
    </row>
    <row r="3938" spans="4:8" s="25" customFormat="1" ht="11.25" customHeight="1">
      <c r="D3938" s="28"/>
      <c r="E3938" s="28"/>
      <c r="F3938" s="28"/>
      <c r="G3938" s="28"/>
      <c r="H3938" s="28"/>
    </row>
    <row r="3939" spans="4:8" s="25" customFormat="1" ht="11.25" customHeight="1">
      <c r="D3939" s="28"/>
      <c r="E3939" s="28"/>
      <c r="F3939" s="28"/>
      <c r="G3939" s="28"/>
      <c r="H3939" s="28"/>
    </row>
    <row r="3940" spans="4:8" s="25" customFormat="1" ht="11.25" customHeight="1">
      <c r="D3940" s="28"/>
      <c r="E3940" s="28"/>
      <c r="F3940" s="28"/>
      <c r="G3940" s="28"/>
      <c r="H3940" s="28"/>
    </row>
    <row r="3941" spans="4:8" s="25" customFormat="1" ht="11.25" customHeight="1">
      <c r="D3941" s="28"/>
      <c r="E3941" s="28"/>
      <c r="F3941" s="28"/>
      <c r="G3941" s="28"/>
      <c r="H3941" s="28"/>
    </row>
    <row r="3942" spans="4:8" s="25" customFormat="1" ht="11.25" customHeight="1">
      <c r="D3942" s="28"/>
      <c r="E3942" s="28"/>
      <c r="F3942" s="28"/>
      <c r="G3942" s="28"/>
      <c r="H3942" s="28"/>
    </row>
    <row r="3943" spans="4:8" s="25" customFormat="1" ht="11.25" customHeight="1">
      <c r="D3943" s="28"/>
      <c r="E3943" s="28"/>
      <c r="F3943" s="28"/>
      <c r="G3943" s="28"/>
      <c r="H3943" s="28"/>
    </row>
    <row r="3944" spans="4:8" s="25" customFormat="1" ht="11.25" customHeight="1">
      <c r="D3944" s="28"/>
      <c r="E3944" s="28"/>
      <c r="F3944" s="28"/>
      <c r="G3944" s="28"/>
      <c r="H3944" s="28"/>
    </row>
    <row r="3945" spans="4:8" s="25" customFormat="1" ht="11.25" customHeight="1">
      <c r="D3945" s="28"/>
      <c r="E3945" s="28"/>
      <c r="F3945" s="28"/>
      <c r="G3945" s="28"/>
      <c r="H3945" s="28"/>
    </row>
    <row r="3946" spans="4:8" s="25" customFormat="1" ht="11.25" customHeight="1">
      <c r="D3946" s="28"/>
      <c r="E3946" s="28"/>
      <c r="F3946" s="28"/>
      <c r="G3946" s="28"/>
      <c r="H3946" s="28"/>
    </row>
    <row r="3947" spans="4:8" s="25" customFormat="1" ht="11.25" customHeight="1">
      <c r="D3947" s="28"/>
      <c r="E3947" s="28"/>
      <c r="F3947" s="28"/>
      <c r="G3947" s="28"/>
      <c r="H3947" s="28"/>
    </row>
    <row r="3948" spans="4:8" s="25" customFormat="1" ht="11.25" customHeight="1">
      <c r="D3948" s="28"/>
      <c r="E3948" s="28"/>
      <c r="F3948" s="28"/>
      <c r="G3948" s="28"/>
      <c r="H3948" s="28"/>
    </row>
    <row r="3949" spans="4:8" s="25" customFormat="1" ht="11.25" customHeight="1">
      <c r="D3949" s="28"/>
      <c r="E3949" s="28"/>
      <c r="F3949" s="28"/>
      <c r="G3949" s="28"/>
      <c r="H3949" s="28"/>
    </row>
    <row r="3950" spans="4:8" s="25" customFormat="1" ht="11.25" customHeight="1">
      <c r="D3950" s="28"/>
      <c r="E3950" s="28"/>
      <c r="F3950" s="28"/>
      <c r="G3950" s="28"/>
      <c r="H3950" s="28"/>
    </row>
    <row r="3951" spans="4:8" s="25" customFormat="1" ht="11.25" customHeight="1">
      <c r="D3951" s="28"/>
      <c r="E3951" s="28"/>
      <c r="F3951" s="28"/>
      <c r="G3951" s="28"/>
      <c r="H3951" s="28"/>
    </row>
    <row r="3952" spans="4:8" s="25" customFormat="1" ht="11.25" customHeight="1">
      <c r="D3952" s="28"/>
      <c r="E3952" s="28"/>
      <c r="F3952" s="28"/>
      <c r="G3952" s="28"/>
      <c r="H3952" s="28"/>
    </row>
    <row r="3953" spans="4:8" s="25" customFormat="1" ht="11.25" customHeight="1">
      <c r="D3953" s="28"/>
      <c r="E3953" s="28"/>
      <c r="F3953" s="28"/>
      <c r="G3953" s="28"/>
      <c r="H3953" s="28"/>
    </row>
    <row r="3954" spans="4:8" s="25" customFormat="1" ht="11.25" customHeight="1">
      <c r="D3954" s="28"/>
      <c r="E3954" s="28"/>
      <c r="F3954" s="28"/>
      <c r="G3954" s="28"/>
      <c r="H3954" s="28"/>
    </row>
    <row r="3955" spans="4:8" s="25" customFormat="1" ht="11.25" customHeight="1">
      <c r="D3955" s="28"/>
      <c r="E3955" s="28"/>
      <c r="F3955" s="28"/>
      <c r="G3955" s="28"/>
      <c r="H3955" s="28"/>
    </row>
    <row r="3956" spans="4:8" s="25" customFormat="1" ht="11.25" customHeight="1">
      <c r="D3956" s="28"/>
      <c r="E3956" s="28"/>
      <c r="F3956" s="28"/>
      <c r="G3956" s="28"/>
      <c r="H3956" s="28"/>
    </row>
    <row r="3957" spans="4:8" s="25" customFormat="1" ht="11.25" customHeight="1">
      <c r="D3957" s="28"/>
      <c r="E3957" s="28"/>
      <c r="F3957" s="28"/>
      <c r="G3957" s="28"/>
      <c r="H3957" s="28"/>
    </row>
    <row r="3958" spans="4:8" s="25" customFormat="1" ht="11.25" customHeight="1">
      <c r="D3958" s="28"/>
      <c r="E3958" s="28"/>
      <c r="F3958" s="28"/>
      <c r="G3958" s="28"/>
      <c r="H3958" s="28"/>
    </row>
    <row r="3959" spans="4:8" s="25" customFormat="1" ht="11.25" customHeight="1">
      <c r="D3959" s="28"/>
      <c r="E3959" s="28"/>
      <c r="F3959" s="28"/>
      <c r="G3959" s="28"/>
      <c r="H3959" s="28"/>
    </row>
    <row r="3960" spans="4:8" s="25" customFormat="1" ht="11.25" customHeight="1">
      <c r="D3960" s="28"/>
      <c r="E3960" s="28"/>
      <c r="F3960" s="28"/>
      <c r="G3960" s="28"/>
      <c r="H3960" s="28"/>
    </row>
    <row r="3961" spans="4:8" s="25" customFormat="1" ht="11.25" customHeight="1">
      <c r="D3961" s="28"/>
      <c r="E3961" s="28"/>
      <c r="F3961" s="28"/>
      <c r="G3961" s="28"/>
      <c r="H3961" s="28"/>
    </row>
    <row r="3962" spans="4:8" s="25" customFormat="1" ht="11.25" customHeight="1">
      <c r="D3962" s="28"/>
      <c r="E3962" s="28"/>
      <c r="F3962" s="28"/>
      <c r="G3962" s="28"/>
      <c r="H3962" s="28"/>
    </row>
    <row r="3963" spans="4:8" s="25" customFormat="1" ht="11.25" customHeight="1">
      <c r="D3963" s="28"/>
      <c r="E3963" s="28"/>
      <c r="F3963" s="28"/>
      <c r="G3963" s="28"/>
      <c r="H3963" s="28"/>
    </row>
    <row r="3964" spans="4:8" s="25" customFormat="1" ht="11.25" customHeight="1">
      <c r="D3964" s="28"/>
      <c r="E3964" s="28"/>
      <c r="F3964" s="28"/>
      <c r="G3964" s="28"/>
      <c r="H3964" s="28"/>
    </row>
    <row r="3965" spans="4:8" s="25" customFormat="1" ht="11.25" customHeight="1">
      <c r="D3965" s="57"/>
      <c r="E3965" s="57"/>
      <c r="F3965" s="57"/>
      <c r="G3965" s="57"/>
      <c r="H3965" s="57"/>
    </row>
    <row r="3966" spans="4:8" s="25" customFormat="1" ht="11.25" customHeight="1">
      <c r="D3966" s="57"/>
      <c r="E3966" s="57"/>
      <c r="F3966" s="57"/>
      <c r="G3966" s="57"/>
      <c r="H3966" s="57"/>
    </row>
    <row r="3967" spans="4:8" s="25" customFormat="1" ht="11.25" customHeight="1">
      <c r="D3967" s="57"/>
      <c r="E3967" s="57"/>
      <c r="F3967" s="57"/>
      <c r="G3967" s="57"/>
      <c r="H3967" s="57"/>
    </row>
    <row r="3968" spans="4:8" s="25" customFormat="1" ht="11.25" customHeight="1">
      <c r="D3968" s="57"/>
      <c r="E3968" s="57"/>
      <c r="F3968" s="57"/>
      <c r="G3968" s="57"/>
      <c r="H3968" s="57"/>
    </row>
    <row r="3969" spans="4:8" ht="11.25" customHeight="1">
      <c r="D3969" s="57"/>
      <c r="E3969" s="57"/>
      <c r="F3969" s="57"/>
      <c r="G3969" s="57"/>
      <c r="H3969" s="57"/>
    </row>
    <row r="3970" spans="4:8" ht="11.25" customHeight="1">
      <c r="D3970" s="57"/>
      <c r="E3970" s="57"/>
      <c r="F3970" s="57"/>
      <c r="G3970" s="57"/>
      <c r="H3970" s="57"/>
    </row>
    <row r="3971" spans="4:8" ht="11.25" customHeight="1">
      <c r="D3971" s="57"/>
      <c r="E3971" s="57"/>
      <c r="F3971" s="57"/>
      <c r="G3971" s="57"/>
      <c r="H3971" s="57"/>
    </row>
    <row r="3972" spans="4:8" ht="11.25" customHeight="1">
      <c r="D3972" s="57"/>
      <c r="E3972" s="57"/>
      <c r="F3972" s="57"/>
      <c r="G3972" s="57"/>
      <c r="H3972" s="57"/>
    </row>
    <row r="3973" spans="4:8" ht="11.25" customHeight="1">
      <c r="D3973" s="57"/>
      <c r="E3973" s="57"/>
      <c r="F3973" s="57"/>
      <c r="G3973" s="57"/>
      <c r="H3973" s="57"/>
    </row>
    <row r="3974" spans="4:8" ht="11.25" customHeight="1">
      <c r="D3974" s="57"/>
      <c r="E3974" s="57"/>
      <c r="F3974" s="57"/>
      <c r="G3974" s="57"/>
      <c r="H3974" s="57"/>
    </row>
    <row r="3975" spans="4:8" ht="11.25" customHeight="1">
      <c r="D3975" s="57"/>
      <c r="E3975" s="57"/>
      <c r="F3975" s="57"/>
      <c r="G3975" s="57"/>
      <c r="H3975" s="57"/>
    </row>
    <row r="3976" spans="4:8" ht="11.25" customHeight="1">
      <c r="D3976" s="57"/>
      <c r="E3976" s="57"/>
      <c r="F3976" s="57"/>
      <c r="G3976" s="57"/>
      <c r="H3976" s="57"/>
    </row>
    <row r="3977" spans="4:8" ht="11.25" customHeight="1">
      <c r="D3977" s="57"/>
      <c r="E3977" s="57"/>
      <c r="F3977" s="57"/>
      <c r="G3977" s="57"/>
      <c r="H3977" s="57"/>
    </row>
    <row r="3978" spans="4:8" ht="11.25" customHeight="1">
      <c r="D3978" s="57"/>
      <c r="E3978" s="57"/>
      <c r="F3978" s="57"/>
      <c r="G3978" s="57"/>
      <c r="H3978" s="57"/>
    </row>
    <row r="3979" spans="4:8" ht="11.25" customHeight="1">
      <c r="D3979" s="57"/>
      <c r="E3979" s="57"/>
      <c r="F3979" s="57"/>
      <c r="G3979" s="57"/>
      <c r="H3979" s="57"/>
    </row>
    <row r="3980" spans="4:8" ht="11.25" customHeight="1">
      <c r="D3980" s="57"/>
      <c r="E3980" s="57"/>
      <c r="F3980" s="57"/>
      <c r="G3980" s="57"/>
      <c r="H3980" s="57"/>
    </row>
    <row r="3981" spans="4:8" ht="11.25" customHeight="1">
      <c r="D3981" s="57"/>
      <c r="E3981" s="57"/>
      <c r="F3981" s="57"/>
      <c r="G3981" s="57"/>
      <c r="H3981" s="57"/>
    </row>
    <row r="3982" spans="4:8" ht="11.25" customHeight="1">
      <c r="D3982" s="57"/>
      <c r="E3982" s="57"/>
      <c r="F3982" s="57"/>
      <c r="G3982" s="57"/>
      <c r="H3982" s="57"/>
    </row>
    <row r="3983" spans="4:8" ht="11.25" customHeight="1">
      <c r="D3983" s="57"/>
      <c r="E3983" s="57"/>
      <c r="F3983" s="57"/>
      <c r="G3983" s="57"/>
      <c r="H3983" s="57"/>
    </row>
    <row r="3984" spans="4:8" ht="11.25" customHeight="1">
      <c r="D3984" s="57"/>
      <c r="E3984" s="57"/>
      <c r="F3984" s="57"/>
      <c r="G3984" s="57"/>
      <c r="H3984" s="57"/>
    </row>
    <row r="3985" spans="4:8" ht="11.25" customHeight="1">
      <c r="D3985" s="57"/>
      <c r="E3985" s="57"/>
      <c r="F3985" s="57"/>
      <c r="G3985" s="57"/>
      <c r="H3985" s="57"/>
    </row>
    <row r="3986" spans="4:8" ht="11.25" customHeight="1">
      <c r="D3986" s="57"/>
      <c r="E3986" s="57"/>
      <c r="F3986" s="57"/>
      <c r="G3986" s="57"/>
      <c r="H3986" s="57"/>
    </row>
    <row r="3987" spans="4:8" ht="11.25" customHeight="1">
      <c r="D3987" s="57"/>
      <c r="E3987" s="57"/>
      <c r="F3987" s="57"/>
      <c r="G3987" s="57"/>
      <c r="H3987" s="57"/>
    </row>
    <row r="3988" spans="4:8" ht="11.25" customHeight="1">
      <c r="D3988" s="57"/>
      <c r="E3988" s="57"/>
      <c r="F3988" s="57"/>
      <c r="G3988" s="57"/>
      <c r="H3988" s="57"/>
    </row>
    <row r="3989" spans="4:8" ht="11.25" customHeight="1">
      <c r="D3989" s="57"/>
      <c r="E3989" s="57"/>
      <c r="F3989" s="57"/>
      <c r="G3989" s="57"/>
      <c r="H3989" s="57"/>
    </row>
    <row r="3990" spans="4:8" ht="11.25" customHeight="1">
      <c r="D3990" s="57"/>
      <c r="E3990" s="57"/>
      <c r="F3990" s="57"/>
      <c r="G3990" s="57"/>
      <c r="H3990" s="57"/>
    </row>
    <row r="3991" spans="4:8" ht="11.25" customHeight="1">
      <c r="D3991" s="57"/>
      <c r="E3991" s="57"/>
      <c r="F3991" s="57"/>
      <c r="G3991" s="57"/>
      <c r="H3991" s="57"/>
    </row>
    <row r="3992" spans="4:8" ht="11.25" customHeight="1">
      <c r="D3992" s="57"/>
      <c r="E3992" s="57"/>
      <c r="F3992" s="57"/>
      <c r="G3992" s="57"/>
    </row>
    <row r="3993" spans="4:8" ht="11.25" customHeight="1">
      <c r="D3993" s="57"/>
      <c r="E3993" s="57"/>
      <c r="F3993" s="57"/>
      <c r="G3993" s="57"/>
    </row>
    <row r="3994" spans="4:8" ht="11.25" customHeight="1">
      <c r="D3994" s="57"/>
      <c r="E3994" s="57"/>
      <c r="F3994" s="57"/>
      <c r="G3994" s="57"/>
    </row>
    <row r="3995" spans="4:8" ht="11.25" customHeight="1">
      <c r="D3995" s="57"/>
      <c r="E3995" s="57"/>
      <c r="F3995" s="57"/>
      <c r="G3995" s="57"/>
    </row>
    <row r="3996" spans="4:8" ht="11.25" customHeight="1">
      <c r="D3996" s="57"/>
      <c r="E3996" s="57"/>
      <c r="F3996" s="57"/>
      <c r="G3996" s="57"/>
    </row>
    <row r="3997" spans="4:8" ht="11.25" customHeight="1">
      <c r="D3997" s="57"/>
      <c r="E3997" s="57"/>
      <c r="F3997" s="57"/>
      <c r="G3997" s="57"/>
    </row>
    <row r="3998" spans="4:8" ht="11.25" customHeight="1">
      <c r="D3998" s="57"/>
      <c r="E3998" s="57"/>
      <c r="F3998" s="57"/>
      <c r="G3998" s="57"/>
    </row>
    <row r="3999" spans="4:8" ht="11.25" customHeight="1">
      <c r="D3999" s="57"/>
      <c r="E3999" s="57"/>
      <c r="F3999" s="57"/>
      <c r="G3999" s="57"/>
    </row>
    <row r="4000" spans="4:8" ht="11.25" customHeight="1">
      <c r="D4000" s="57"/>
      <c r="E4000" s="57"/>
      <c r="F4000" s="57"/>
      <c r="G4000" s="57"/>
    </row>
  </sheetData>
  <sheetProtection password="C665" sheet="1" objects="1" scenarios="1" selectLockedCells="1"/>
  <mergeCells count="195">
    <mergeCell ref="E18:E19"/>
    <mergeCell ref="E20:E21"/>
    <mergeCell ref="E22:E23"/>
    <mergeCell ref="E24:E25"/>
    <mergeCell ref="E26:E27"/>
    <mergeCell ref="E28:E29"/>
    <mergeCell ref="E30:E31"/>
    <mergeCell ref="E32:E33"/>
    <mergeCell ref="E34:E35"/>
    <mergeCell ref="T9:V10"/>
    <mergeCell ref="T12:V14"/>
    <mergeCell ref="AA20:AB21"/>
    <mergeCell ref="AA19:AB19"/>
    <mergeCell ref="AC22:AD22"/>
    <mergeCell ref="U41:V41"/>
    <mergeCell ref="AA40:AB40"/>
    <mergeCell ref="Z34:AC35"/>
    <mergeCell ref="AA36:AB36"/>
    <mergeCell ref="W38:W39"/>
    <mergeCell ref="T28:V28"/>
    <mergeCell ref="T17:V18"/>
    <mergeCell ref="T15:V16"/>
    <mergeCell ref="F40:J41"/>
    <mergeCell ref="K40:K41"/>
    <mergeCell ref="L40:L41"/>
    <mergeCell ref="M40:M41"/>
    <mergeCell ref="N40:N41"/>
    <mergeCell ref="R38:R39"/>
    <mergeCell ref="Q34:Q35"/>
    <mergeCell ref="R34:R35"/>
    <mergeCell ref="P36:P37"/>
    <mergeCell ref="Q36:Q37"/>
    <mergeCell ref="P32:P33"/>
    <mergeCell ref="Q32:Q33"/>
    <mergeCell ref="L36:L37"/>
    <mergeCell ref="M36:M37"/>
    <mergeCell ref="N36:N37"/>
    <mergeCell ref="O36:O37"/>
    <mergeCell ref="N34:N35"/>
    <mergeCell ref="O34:O35"/>
    <mergeCell ref="R36:R37"/>
    <mergeCell ref="P38:P39"/>
    <mergeCell ref="Q38:Q39"/>
    <mergeCell ref="R26:R27"/>
    <mergeCell ref="R28:R29"/>
    <mergeCell ref="R30:R31"/>
    <mergeCell ref="O32:O33"/>
    <mergeCell ref="N32:N33"/>
    <mergeCell ref="P34:P35"/>
    <mergeCell ref="Q40:Q41"/>
    <mergeCell ref="R40:R41"/>
    <mergeCell ref="R20:R21"/>
    <mergeCell ref="Q18:Q19"/>
    <mergeCell ref="Q26:Q27"/>
    <mergeCell ref="Q28:Q29"/>
    <mergeCell ref="Q30:Q31"/>
    <mergeCell ref="Q22:Q23"/>
    <mergeCell ref="N22:N23"/>
    <mergeCell ref="Q24:Q25"/>
    <mergeCell ref="O18:O19"/>
    <mergeCell ref="O24:O25"/>
    <mergeCell ref="O20:O21"/>
    <mergeCell ref="O22:O23"/>
    <mergeCell ref="Q20:Q21"/>
    <mergeCell ref="P22:P23"/>
    <mergeCell ref="P26:P27"/>
    <mergeCell ref="P28:P29"/>
    <mergeCell ref="O26:O27"/>
    <mergeCell ref="O1:P1"/>
    <mergeCell ref="F3:H4"/>
    <mergeCell ref="K3:N4"/>
    <mergeCell ref="I10:J11"/>
    <mergeCell ref="K10:K11"/>
    <mergeCell ref="N10:N11"/>
    <mergeCell ref="F7:I8"/>
    <mergeCell ref="H10:H11"/>
    <mergeCell ref="L26:L27"/>
    <mergeCell ref="P18:P19"/>
    <mergeCell ref="K18:K19"/>
    <mergeCell ref="L24:L25"/>
    <mergeCell ref="L22:L23"/>
    <mergeCell ref="O16:P17"/>
    <mergeCell ref="P20:P21"/>
    <mergeCell ref="K20:K21"/>
    <mergeCell ref="K22:K23"/>
    <mergeCell ref="F14:R15"/>
    <mergeCell ref="F18:J19"/>
    <mergeCell ref="L10:M11"/>
    <mergeCell ref="O10:P11"/>
    <mergeCell ref="F20:J21"/>
    <mergeCell ref="F22:J23"/>
    <mergeCell ref="L18:L19"/>
    <mergeCell ref="N7:R8"/>
    <mergeCell ref="F10:G11"/>
    <mergeCell ref="AJ63:AM64"/>
    <mergeCell ref="Z38:AC39"/>
    <mergeCell ref="M24:M25"/>
    <mergeCell ref="M30:M31"/>
    <mergeCell ref="K24:K25"/>
    <mergeCell ref="K26:K27"/>
    <mergeCell ref="P40:P41"/>
    <mergeCell ref="F16:J17"/>
    <mergeCell ref="Q10:Q11"/>
    <mergeCell ref="M16:N17"/>
    <mergeCell ref="R18:R19"/>
    <mergeCell ref="Q16:R17"/>
    <mergeCell ref="N20:N21"/>
    <mergeCell ref="R22:R23"/>
    <mergeCell ref="O30:O31"/>
    <mergeCell ref="P30:P31"/>
    <mergeCell ref="P24:P25"/>
    <mergeCell ref="R32:R33"/>
    <mergeCell ref="F24:J25"/>
    <mergeCell ref="F28:J29"/>
    <mergeCell ref="K28:K29"/>
    <mergeCell ref="R24:R25"/>
    <mergeCell ref="F314:M314"/>
    <mergeCell ref="F299:L300"/>
    <mergeCell ref="F301:M301"/>
    <mergeCell ref="F302:M302"/>
    <mergeCell ref="F303:M303"/>
    <mergeCell ref="F320:M320"/>
    <mergeCell ref="F318:M318"/>
    <mergeCell ref="F319:M319"/>
    <mergeCell ref="J7:M8"/>
    <mergeCell ref="L38:L39"/>
    <mergeCell ref="M38:M39"/>
    <mergeCell ref="C332:F336"/>
    <mergeCell ref="G335:M335"/>
    <mergeCell ref="L304:M304"/>
    <mergeCell ref="L305:M305"/>
    <mergeCell ref="L306:M306"/>
    <mergeCell ref="L307:M307"/>
    <mergeCell ref="F328:M328"/>
    <mergeCell ref="F327:M327"/>
    <mergeCell ref="F326:M326"/>
    <mergeCell ref="F323:M323"/>
    <mergeCell ref="C297:C315"/>
    <mergeCell ref="F311:M311"/>
    <mergeCell ref="F312:M312"/>
    <mergeCell ref="F325:M325"/>
    <mergeCell ref="F322:M322"/>
    <mergeCell ref="F324:M324"/>
    <mergeCell ref="C318:C329"/>
    <mergeCell ref="F304:K305"/>
    <mergeCell ref="F306:K307"/>
    <mergeCell ref="F308:K309"/>
    <mergeCell ref="F329:M329"/>
    <mergeCell ref="L308:M308"/>
    <mergeCell ref="F321:M321"/>
    <mergeCell ref="F313:M313"/>
    <mergeCell ref="K16:L17"/>
    <mergeCell ref="N30:N31"/>
    <mergeCell ref="M18:M19"/>
    <mergeCell ref="M28:M29"/>
    <mergeCell ref="N28:N29"/>
    <mergeCell ref="F315:M315"/>
    <mergeCell ref="M26:M27"/>
    <mergeCell ref="N18:N19"/>
    <mergeCell ref="F310:M310"/>
    <mergeCell ref="L309:M309"/>
    <mergeCell ref="M22:M23"/>
    <mergeCell ref="L28:L29"/>
    <mergeCell ref="L20:L21"/>
    <mergeCell ref="N24:N25"/>
    <mergeCell ref="N26:N27"/>
    <mergeCell ref="M20:M21"/>
    <mergeCell ref="L30:L31"/>
    <mergeCell ref="F32:J33"/>
    <mergeCell ref="K32:K33"/>
    <mergeCell ref="F297:L298"/>
    <mergeCell ref="C282:F285"/>
    <mergeCell ref="F76:AM76"/>
    <mergeCell ref="G285:M285"/>
    <mergeCell ref="F46:S50"/>
    <mergeCell ref="F30:J31"/>
    <mergeCell ref="K30:K31"/>
    <mergeCell ref="O28:O29"/>
    <mergeCell ref="F26:J27"/>
    <mergeCell ref="L32:L33"/>
    <mergeCell ref="M32:M33"/>
    <mergeCell ref="E36:E37"/>
    <mergeCell ref="E38:E39"/>
    <mergeCell ref="E40:E41"/>
    <mergeCell ref="O40:O41"/>
    <mergeCell ref="F38:J39"/>
    <mergeCell ref="K38:K39"/>
    <mergeCell ref="F34:J35"/>
    <mergeCell ref="K34:K35"/>
    <mergeCell ref="L34:L35"/>
    <mergeCell ref="M34:M35"/>
    <mergeCell ref="F36:J37"/>
    <mergeCell ref="K36:K37"/>
    <mergeCell ref="N38:N39"/>
    <mergeCell ref="O38:O39"/>
  </mergeCells>
  <hyperlinks>
    <hyperlink ref="I1" location="Купол!A1" display="Купол"/>
    <hyperlink ref="J1" location="козырёк!A1" display="Козырьки"/>
    <hyperlink ref="L1" location="'Стены 1'!A1" display="Стены 1"/>
    <hyperlink ref="M1" location="Перекрытие2!A1" display="Перекрытие 2"/>
    <hyperlink ref="N1" location="Стены2!A1" display="Стены 2"/>
    <hyperlink ref="O1" location="Башня!A1" display="Обзорная башня"/>
    <hyperlink ref="R1" location="Доставка!A1" display="Окна"/>
    <hyperlink ref="H1" location="'Смета фунд.'!A1" display="Смета фундамента"/>
    <hyperlink ref="Q1" location="Окна!A1" display="Окна"/>
    <hyperlink ref="F1" location="Главная!A1" display="Главная"/>
    <hyperlink ref="K1" location="'Перекрытия 1'!A1" display="Перекр.1"/>
    <hyperlink ref="G1" location="'Район фунд.'!A1" display="Район фундамента"/>
  </hyperlinks>
  <pageMargins left="0.23622047244094491" right="0.23622047244094491" top="0.59055118110236227" bottom="0.35433070866141736" header="0.31496062992125984" footer="0.31496062992125984"/>
  <pageSetup paperSize="9" orientation="landscape" verticalDpi="20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4:W59"/>
  <sheetViews>
    <sheetView topLeftCell="A21" workbookViewId="0">
      <selection activeCell="L40" sqref="L40"/>
    </sheetView>
  </sheetViews>
  <sheetFormatPr defaultColWidth="6.1796875" defaultRowHeight="12.75" customHeight="1"/>
  <cols>
    <col min="1" max="1" width="6.1796875" style="68"/>
    <col min="2" max="2" width="20.81640625" style="68" customWidth="1"/>
    <col min="3" max="3" width="6.1796875" style="68"/>
    <col min="4" max="4" width="18.26953125" style="68" customWidth="1"/>
    <col min="5" max="5" width="5.1796875" style="68" customWidth="1"/>
    <col min="6" max="6" width="18.26953125" style="68" customWidth="1"/>
    <col min="7" max="7" width="9.7265625" style="68" customWidth="1"/>
    <col min="8" max="8" width="18.26953125" style="68" customWidth="1"/>
    <col min="9" max="9" width="7.26953125" style="68" customWidth="1"/>
    <col min="10" max="10" width="18.26953125" style="68" customWidth="1"/>
    <col min="11" max="20" width="5.54296875" style="68" customWidth="1"/>
    <col min="21" max="16384" width="6.1796875" style="68"/>
  </cols>
  <sheetData>
    <row r="4" spans="1:12" ht="12.75" customHeight="1">
      <c r="D4" s="68" t="s">
        <v>2107</v>
      </c>
    </row>
    <row r="5" spans="1:12" ht="12.75" customHeight="1">
      <c r="A5" s="68">
        <v>1</v>
      </c>
      <c r="B5" s="100" t="s">
        <v>2106</v>
      </c>
      <c r="C5" s="99">
        <v>0.23</v>
      </c>
      <c r="D5" s="68">
        <v>2</v>
      </c>
    </row>
    <row r="6" spans="1:12" ht="12.75" customHeight="1">
      <c r="A6" s="68">
        <v>2</v>
      </c>
      <c r="B6" s="100" t="s">
        <v>2105</v>
      </c>
      <c r="C6" s="99">
        <v>0.28000000000000003</v>
      </c>
      <c r="D6" s="68">
        <v>2.5</v>
      </c>
    </row>
    <row r="7" spans="1:12" ht="12.75" customHeight="1">
      <c r="A7" s="68">
        <v>3</v>
      </c>
      <c r="B7" s="100" t="s">
        <v>2104</v>
      </c>
      <c r="C7" s="99">
        <v>0.3</v>
      </c>
      <c r="D7" s="68">
        <v>4</v>
      </c>
    </row>
    <row r="8" spans="1:12" ht="12.75" customHeight="1">
      <c r="A8" s="68">
        <v>4</v>
      </c>
      <c r="B8" s="100" t="s">
        <v>2103</v>
      </c>
      <c r="C8" s="99">
        <v>0.34</v>
      </c>
      <c r="D8" s="68">
        <v>6</v>
      </c>
    </row>
    <row r="9" spans="1:12" ht="12.75" customHeight="1">
      <c r="A9" s="25">
        <v>2</v>
      </c>
      <c r="B9" s="25">
        <v>3</v>
      </c>
      <c r="C9" s="82">
        <f>VLOOKUP(A9,A5:C8,B9)</f>
        <v>0.28000000000000003</v>
      </c>
      <c r="D9" s="68">
        <f>VLOOKUP(A9,A5:D8,4)</f>
        <v>2.5</v>
      </c>
    </row>
    <row r="11" spans="1:12" ht="12.75" customHeight="1">
      <c r="A11" s="68">
        <f>'Район фунд.'!H282</f>
        <v>-6.6</v>
      </c>
      <c r="B11" s="68">
        <f>IF(A11&lt;0,A11,0)</f>
        <v>-6.6</v>
      </c>
      <c r="C11" s="68">
        <f>'Район фунд.'!J282</f>
        <v>8.8000000000000007</v>
      </c>
      <c r="D11" s="68">
        <f>IF(C11&lt;0,C11,0)</f>
        <v>0</v>
      </c>
      <c r="F11" s="68">
        <f>'Район фунд.'!L282</f>
        <v>20.100000000000001</v>
      </c>
      <c r="H11" s="68">
        <f>IF(F11&lt;0,F11,0)</f>
        <v>0</v>
      </c>
      <c r="J11" s="68">
        <f>'Район фунд.'!N282</f>
        <v>7.6</v>
      </c>
      <c r="L11" s="68">
        <f>IF(J11&lt;0,J11,0)</f>
        <v>0</v>
      </c>
    </row>
    <row r="12" spans="1:12" ht="12.75" customHeight="1">
      <c r="A12" s="68">
        <f>'Район фунд.'!H283</f>
        <v>-5.3</v>
      </c>
      <c r="B12" s="68">
        <f>IF(A12&lt;0,A12,0)</f>
        <v>-5.3</v>
      </c>
      <c r="C12" s="68">
        <f>'Район фунд.'!J283</f>
        <v>15.4</v>
      </c>
      <c r="D12" s="68">
        <f>IF(C12&lt;0,C12,0)</f>
        <v>0</v>
      </c>
      <c r="F12" s="68">
        <f>'Район фунд.'!L283</f>
        <v>19.399999999999999</v>
      </c>
      <c r="H12" s="68">
        <f>IF(F12&lt;0,F12,0)</f>
        <v>0</v>
      </c>
      <c r="J12" s="68">
        <f>'Район фунд.'!N283</f>
        <v>1.5</v>
      </c>
      <c r="L12" s="68">
        <f>IF(J12&lt;0,J12,0)</f>
        <v>0</v>
      </c>
    </row>
    <row r="13" spans="1:12" ht="12.75" customHeight="1">
      <c r="A13" s="68">
        <f>'Район фунд.'!H284</f>
        <v>-0.1</v>
      </c>
      <c r="B13" s="68">
        <f>IF(A13&lt;0,A13,0)</f>
        <v>-0.1</v>
      </c>
      <c r="C13" s="68">
        <f>'Район фунд.'!J284</f>
        <v>18.7</v>
      </c>
      <c r="D13" s="68">
        <f>IF(C13&lt;0,C13,0)</f>
        <v>0</v>
      </c>
      <c r="F13" s="68">
        <f>'Район фунд.'!L284</f>
        <v>14.3</v>
      </c>
      <c r="H13" s="68">
        <f>IF(F13&lt;0,F13,0)</f>
        <v>0</v>
      </c>
      <c r="J13" s="68">
        <f>'Район фунд.'!N284</f>
        <v>-3.1</v>
      </c>
      <c r="L13" s="68">
        <f>IF(J13&lt;0,J13,0)</f>
        <v>-3.1</v>
      </c>
    </row>
    <row r="14" spans="1:12" ht="12.75" customHeight="1">
      <c r="A14" s="68" t="s">
        <v>2102</v>
      </c>
      <c r="B14" s="68">
        <f>B11+B12+B13+D11+D12+D13+H11+H12+H13+L11+L12+L13</f>
        <v>-15.099999999999998</v>
      </c>
      <c r="C14" s="68" t="s">
        <v>2101</v>
      </c>
      <c r="D14" s="68">
        <f>SQRT(B14*(-1))</f>
        <v>3.8858718455450894</v>
      </c>
      <c r="F14" s="68" t="s">
        <v>2100</v>
      </c>
      <c r="H14" s="98">
        <f>D14*C9</f>
        <v>1.0880441167526251</v>
      </c>
      <c r="I14" s="98"/>
    </row>
    <row r="16" spans="1:12" ht="12.75" customHeight="1" thickBot="1"/>
    <row r="17" spans="1:20" ht="12.75" customHeight="1">
      <c r="B17" s="97"/>
      <c r="C17" s="625" t="s">
        <v>2099</v>
      </c>
      <c r="D17" s="626"/>
      <c r="E17" s="626"/>
      <c r="F17" s="626"/>
      <c r="G17" s="626"/>
      <c r="H17" s="626"/>
      <c r="I17" s="626"/>
      <c r="J17" s="627"/>
      <c r="K17" s="72"/>
    </row>
    <row r="18" spans="1:20" ht="51" customHeight="1">
      <c r="B18" s="73"/>
      <c r="C18" s="628" t="s">
        <v>2098</v>
      </c>
      <c r="D18" s="629"/>
      <c r="E18" s="629"/>
      <c r="F18" s="629"/>
      <c r="G18" s="629"/>
      <c r="H18" s="629"/>
      <c r="I18" s="629"/>
      <c r="J18" s="630"/>
      <c r="K18" s="72"/>
    </row>
    <row r="19" spans="1:20" ht="12.75" customHeight="1" thickBot="1">
      <c r="B19" s="73" t="s">
        <v>2097</v>
      </c>
      <c r="C19" s="631"/>
      <c r="D19" s="632"/>
      <c r="E19" s="632"/>
      <c r="F19" s="632"/>
      <c r="G19" s="632"/>
      <c r="H19" s="632"/>
      <c r="I19" s="632"/>
      <c r="J19" s="633"/>
      <c r="K19" s="96"/>
    </row>
    <row r="20" spans="1:20" ht="12.75" customHeight="1">
      <c r="B20" s="634"/>
      <c r="C20" s="636" t="s">
        <v>2096</v>
      </c>
      <c r="D20" s="636" t="s">
        <v>2095</v>
      </c>
      <c r="E20" s="636" t="s">
        <v>2094</v>
      </c>
      <c r="F20" s="636" t="s">
        <v>2093</v>
      </c>
      <c r="G20" s="95" t="s">
        <v>2092</v>
      </c>
      <c r="H20" s="72"/>
    </row>
    <row r="21" spans="1:20" ht="12.75" customHeight="1" thickBot="1">
      <c r="B21" s="635"/>
      <c r="C21" s="637"/>
      <c r="D21" s="637"/>
      <c r="E21" s="637"/>
      <c r="F21" s="637"/>
      <c r="G21" s="94" t="s">
        <v>2091</v>
      </c>
      <c r="H21" s="72"/>
    </row>
    <row r="22" spans="1:20" ht="12.75" customHeight="1">
      <c r="B22" s="93"/>
      <c r="C22" s="92"/>
      <c r="D22" s="92"/>
      <c r="E22" s="92"/>
      <c r="F22" s="92"/>
      <c r="G22" s="92"/>
      <c r="H22" s="72"/>
    </row>
    <row r="23" spans="1:20" ht="12.75" customHeight="1">
      <c r="A23" s="68">
        <v>1</v>
      </c>
      <c r="B23" s="93" t="s">
        <v>2090</v>
      </c>
      <c r="C23" s="92">
        <v>0.9</v>
      </c>
      <c r="D23" s="92">
        <v>0.8</v>
      </c>
      <c r="E23" s="92">
        <v>0.7</v>
      </c>
      <c r="F23" s="92">
        <v>0.6</v>
      </c>
      <c r="G23" s="92">
        <v>0.5</v>
      </c>
      <c r="H23" s="72"/>
      <c r="K23" s="68">
        <v>2</v>
      </c>
      <c r="L23" s="68">
        <v>1</v>
      </c>
      <c r="M23" s="68">
        <v>6</v>
      </c>
      <c r="N23" s="68">
        <v>0.222</v>
      </c>
    </row>
    <row r="24" spans="1:20" ht="12.75" customHeight="1">
      <c r="A24" s="68">
        <v>2</v>
      </c>
      <c r="B24" s="93" t="s">
        <v>2089</v>
      </c>
      <c r="C24" s="92">
        <v>1</v>
      </c>
      <c r="D24" s="92">
        <v>0.9</v>
      </c>
      <c r="E24" s="92">
        <v>0.8</v>
      </c>
      <c r="F24" s="92">
        <v>0.7</v>
      </c>
      <c r="G24" s="92">
        <v>0.6</v>
      </c>
      <c r="H24" s="72"/>
      <c r="K24" s="68">
        <f>VLOOKUP(K23,L23:N25,3)</f>
        <v>0.39500000000000002</v>
      </c>
      <c r="L24" s="68">
        <v>2</v>
      </c>
      <c r="M24" s="68">
        <v>8</v>
      </c>
      <c r="N24" s="68">
        <v>0.39500000000000002</v>
      </c>
    </row>
    <row r="25" spans="1:20" ht="12.75" customHeight="1">
      <c r="A25" s="68">
        <v>3</v>
      </c>
      <c r="B25" s="93" t="s">
        <v>2088</v>
      </c>
      <c r="C25" s="92">
        <v>1</v>
      </c>
      <c r="D25" s="92">
        <v>1</v>
      </c>
      <c r="E25" s="92">
        <v>0.9</v>
      </c>
      <c r="F25" s="92">
        <v>0.8</v>
      </c>
      <c r="G25" s="92">
        <v>0.7</v>
      </c>
      <c r="H25" s="72"/>
      <c r="K25" s="68">
        <f>VLOOKUP(K23,L23:M25,2)</f>
        <v>8</v>
      </c>
      <c r="L25" s="68">
        <v>3</v>
      </c>
      <c r="M25" s="68">
        <v>10</v>
      </c>
      <c r="N25" s="68">
        <v>0.61699999999999999</v>
      </c>
    </row>
    <row r="26" spans="1:20" ht="12.75" customHeight="1" thickBot="1">
      <c r="A26" s="68">
        <v>4</v>
      </c>
      <c r="B26" s="93" t="s">
        <v>2087</v>
      </c>
      <c r="C26" s="92">
        <v>0.8</v>
      </c>
      <c r="D26" s="92">
        <v>0.7</v>
      </c>
      <c r="E26" s="92">
        <v>0.6</v>
      </c>
      <c r="F26" s="92">
        <v>0.5</v>
      </c>
      <c r="G26" s="92">
        <v>0.4</v>
      </c>
      <c r="H26" s="72"/>
    </row>
    <row r="27" spans="1:20" ht="12.75" customHeight="1">
      <c r="K27" s="91">
        <v>3</v>
      </c>
      <c r="L27" s="90">
        <v>1</v>
      </c>
      <c r="M27" s="90">
        <v>400</v>
      </c>
      <c r="N27" s="90"/>
      <c r="O27" s="90"/>
      <c r="P27" s="90"/>
      <c r="Q27" s="90">
        <v>190</v>
      </c>
      <c r="R27" s="90">
        <f>R28*0.8</f>
        <v>2.8716000000000005E-2</v>
      </c>
      <c r="S27" s="90"/>
      <c r="T27" s="89"/>
    </row>
    <row r="28" spans="1:20" ht="12.75" customHeight="1">
      <c r="A28" s="25">
        <v>4</v>
      </c>
      <c r="B28" s="25">
        <f>2+C36</f>
        <v>7</v>
      </c>
      <c r="C28" s="82">
        <f>VLOOKUP(A28,A22:G26,B28)</f>
        <v>0.4</v>
      </c>
      <c r="K28" s="88"/>
      <c r="L28" s="87">
        <v>2</v>
      </c>
      <c r="M28" s="87">
        <v>500</v>
      </c>
      <c r="N28" s="87"/>
      <c r="O28" s="87"/>
      <c r="P28" s="87"/>
      <c r="Q28" s="87">
        <v>240</v>
      </c>
      <c r="R28" s="87">
        <v>3.5895000000000003E-2</v>
      </c>
      <c r="S28" s="87"/>
      <c r="T28" s="86"/>
    </row>
    <row r="29" spans="1:20" ht="12.75" customHeight="1" thickBot="1">
      <c r="K29" s="85"/>
      <c r="L29" s="84">
        <v>3</v>
      </c>
      <c r="M29" s="84">
        <v>600</v>
      </c>
      <c r="N29" s="84"/>
      <c r="O29" s="84"/>
      <c r="P29" s="84"/>
      <c r="Q29" s="84">
        <v>290</v>
      </c>
      <c r="R29" s="84">
        <f>R28*1.2</f>
        <v>4.3074000000000001E-2</v>
      </c>
      <c r="S29" s="84">
        <f>VLOOKUP(K27,L27:R29,7)</f>
        <v>4.3074000000000001E-2</v>
      </c>
      <c r="T29" s="83">
        <f>VLOOKUP(K27,L27:Q29,6)</f>
        <v>290</v>
      </c>
    </row>
    <row r="30" spans="1:20" ht="12.75" customHeight="1">
      <c r="A30" s="68">
        <v>1</v>
      </c>
      <c r="B30" s="68" t="str">
        <f>C20</f>
        <v>0°С</v>
      </c>
      <c r="K30" s="68">
        <v>2</v>
      </c>
      <c r="L30" s="68">
        <v>1</v>
      </c>
      <c r="M30" s="68">
        <v>300</v>
      </c>
      <c r="N30" s="68">
        <v>600</v>
      </c>
      <c r="O30" s="68">
        <f>M30-60</f>
        <v>240</v>
      </c>
      <c r="P30" s="68">
        <f>0.6</f>
        <v>0.6</v>
      </c>
      <c r="Q30" s="68">
        <v>240</v>
      </c>
      <c r="R30" s="68">
        <v>3.5895000000000003E-2</v>
      </c>
    </row>
    <row r="31" spans="1:20" ht="12.75" customHeight="1">
      <c r="A31" s="68">
        <v>2</v>
      </c>
      <c r="B31" s="68" t="str">
        <f>D20</f>
        <v>5°С</v>
      </c>
      <c r="D31" s="68" t="s">
        <v>2086</v>
      </c>
      <c r="F31" s="68">
        <f>H14*C28</f>
        <v>0.43521764670105006</v>
      </c>
      <c r="K31" s="68">
        <f>VLOOKUP(K30,L30:P32,5)</f>
        <v>0.75</v>
      </c>
      <c r="L31" s="68">
        <v>2</v>
      </c>
      <c r="M31" s="68">
        <v>300</v>
      </c>
      <c r="N31" s="68">
        <v>600</v>
      </c>
      <c r="O31" s="68">
        <f>M31-60</f>
        <v>240</v>
      </c>
      <c r="P31" s="68">
        <f>P30*1.25</f>
        <v>0.75</v>
      </c>
      <c r="Q31" s="68">
        <v>290</v>
      </c>
      <c r="R31" s="68">
        <f>R30*1.2</f>
        <v>4.3074000000000001E-2</v>
      </c>
    </row>
    <row r="32" spans="1:20" ht="12.75" customHeight="1">
      <c r="A32" s="68">
        <v>3</v>
      </c>
      <c r="B32" s="68" t="str">
        <f>E20</f>
        <v>10°С</v>
      </c>
      <c r="K32" s="68">
        <f>VLOOKUP(K30,L30:Q32,6)</f>
        <v>290</v>
      </c>
      <c r="L32" s="68">
        <v>3</v>
      </c>
      <c r="M32" s="68">
        <v>300</v>
      </c>
      <c r="N32" s="68">
        <v>600</v>
      </c>
      <c r="O32" s="68">
        <f>M32-60</f>
        <v>240</v>
      </c>
      <c r="P32" s="68">
        <f>P30*1.5</f>
        <v>0.89999999999999991</v>
      </c>
      <c r="Q32" s="68">
        <v>290</v>
      </c>
      <c r="R32" s="68">
        <f>R31</f>
        <v>4.3074000000000001E-2</v>
      </c>
    </row>
    <row r="33" spans="1:18" ht="12.75" customHeight="1">
      <c r="A33" s="68">
        <v>4</v>
      </c>
      <c r="B33" s="68" t="str">
        <f>F20</f>
        <v>15°С</v>
      </c>
      <c r="R33" s="68">
        <f>VLOOKUP(K30,L30:R32,7)</f>
        <v>4.3074000000000001E-2</v>
      </c>
    </row>
    <row r="34" spans="1:18" ht="12.75" customHeight="1">
      <c r="A34" s="68">
        <v>5</v>
      </c>
      <c r="B34" s="68" t="str">
        <f>G20</f>
        <v>&gt;20°С</v>
      </c>
    </row>
    <row r="35" spans="1:18" ht="12.75" customHeight="1">
      <c r="K35" s="68">
        <v>2</v>
      </c>
      <c r="L35" s="68">
        <v>1</v>
      </c>
      <c r="M35" s="68">
        <v>8</v>
      </c>
      <c r="N35" s="68">
        <v>0.39500000000000002</v>
      </c>
    </row>
    <row r="36" spans="1:18" ht="12.75" customHeight="1">
      <c r="A36" s="25">
        <v>5</v>
      </c>
      <c r="B36" s="25">
        <v>1</v>
      </c>
      <c r="C36" s="82">
        <f>VLOOKUP(A36,A30:J34,B36)</f>
        <v>5</v>
      </c>
      <c r="K36" s="68">
        <f>VLOOKUP(K35,L35:N39,3)</f>
        <v>0.61699999999999999</v>
      </c>
      <c r="L36" s="68">
        <v>2</v>
      </c>
      <c r="M36" s="68">
        <v>10</v>
      </c>
      <c r="N36" s="68">
        <v>0.61699999999999999</v>
      </c>
    </row>
    <row r="37" spans="1:18" ht="12.75" customHeight="1">
      <c r="K37" s="68">
        <f>VLOOKUP(K35,L35:M39,2)</f>
        <v>10</v>
      </c>
      <c r="L37" s="68">
        <v>3</v>
      </c>
      <c r="M37" s="68">
        <v>12</v>
      </c>
      <c r="N37" s="68">
        <v>0.88800000000000001</v>
      </c>
    </row>
    <row r="38" spans="1:18" ht="12.75" customHeight="1">
      <c r="L38" s="68">
        <v>4</v>
      </c>
      <c r="M38" s="68">
        <v>14</v>
      </c>
      <c r="N38" s="68">
        <v>1.21</v>
      </c>
    </row>
    <row r="39" spans="1:18" ht="12.75" customHeight="1">
      <c r="L39" s="68">
        <v>5</v>
      </c>
      <c r="M39" s="68">
        <v>16</v>
      </c>
      <c r="N39" s="68">
        <v>1.58</v>
      </c>
    </row>
    <row r="40" spans="1:18" ht="12.75" customHeight="1">
      <c r="B40" s="81" t="s">
        <v>2085</v>
      </c>
      <c r="C40" s="1"/>
      <c r="D40" s="1"/>
      <c r="E40" s="1"/>
      <c r="F40" s="1"/>
      <c r="G40" s="1"/>
      <c r="H40" s="1"/>
      <c r="I40" s="1"/>
      <c r="J40" s="1"/>
      <c r="K40" s="1"/>
    </row>
    <row r="41" spans="1:18" ht="12.75" customHeight="1" thickBot="1">
      <c r="B41" s="80"/>
      <c r="C41" s="1"/>
      <c r="D41" s="1">
        <f>'Район фунд.'!H282</f>
        <v>-6.6</v>
      </c>
      <c r="E41" s="1"/>
      <c r="F41" s="69" t="str">
        <f>'Район фунд.'!N315</f>
        <v xml:space="preserve">    -    </v>
      </c>
      <c r="G41" s="1"/>
      <c r="H41" s="1">
        <f>'Район фунд.'!L282</f>
        <v>20.100000000000001</v>
      </c>
      <c r="I41" s="1"/>
      <c r="J41" s="1" t="str">
        <f>'Район фунд.'!N324</f>
        <v xml:space="preserve">   -    </v>
      </c>
      <c r="K41" s="1" t="str">
        <f>'Район фунд.'!N311</f>
        <v xml:space="preserve">    -     </v>
      </c>
      <c r="L41" s="68">
        <f>'Район фунд.'!J282</f>
        <v>8.8000000000000007</v>
      </c>
      <c r="M41" s="68">
        <f>'Район фунд.'!N282</f>
        <v>7.6</v>
      </c>
    </row>
    <row r="42" spans="1:18" ht="54" customHeight="1" thickBot="1">
      <c r="B42" s="79" t="s">
        <v>2084</v>
      </c>
      <c r="C42" s="77" t="s">
        <v>2083</v>
      </c>
      <c r="D42" s="78" t="s">
        <v>2082</v>
      </c>
      <c r="E42" s="78"/>
      <c r="F42" s="77" t="s">
        <v>2081</v>
      </c>
      <c r="G42" s="78"/>
      <c r="H42" s="78" t="s">
        <v>2080</v>
      </c>
      <c r="I42" s="78"/>
      <c r="J42" s="77" t="s">
        <v>2079</v>
      </c>
      <c r="K42" s="77"/>
      <c r="L42" s="77"/>
    </row>
    <row r="43" spans="1:18" ht="12.75" customHeight="1">
      <c r="A43" s="68">
        <v>1</v>
      </c>
      <c r="B43" s="76" t="s">
        <v>2078</v>
      </c>
      <c r="C43" s="73" t="s">
        <v>2077</v>
      </c>
      <c r="D43" s="75" t="s">
        <v>2076</v>
      </c>
      <c r="E43" s="74">
        <f>IF(D41&lt;-31.9,1,0)</f>
        <v>0</v>
      </c>
      <c r="F43" s="73" t="s">
        <v>2035</v>
      </c>
      <c r="G43" s="71">
        <f>IF(F41&lt;5,1,0)</f>
        <v>0</v>
      </c>
      <c r="H43" s="75" t="s">
        <v>2075</v>
      </c>
      <c r="I43" s="74">
        <f>IF(H41&lt;19.1,IF(H41&gt;4,1,0),0)</f>
        <v>0</v>
      </c>
      <c r="J43" s="73" t="s">
        <v>2035</v>
      </c>
      <c r="K43" s="71">
        <f>IF(J41&lt;75,1,0)</f>
        <v>0</v>
      </c>
      <c r="L43" s="68">
        <f>IF(L41&gt;0,IF(M41&gt;0,1,0),0)</f>
        <v>1</v>
      </c>
      <c r="M43" s="71">
        <f t="shared" ref="M43:M58" si="0">IF(E43=0,0,E43+G43+I43+K43+L43)</f>
        <v>0</v>
      </c>
      <c r="N43" s="68" t="str">
        <f t="shared" ref="N43:N58" si="1">IF(M43=O43,C43,"")</f>
        <v/>
      </c>
      <c r="O43" s="68">
        <f>M59</f>
        <v>5</v>
      </c>
      <c r="P43" s="68" t="str">
        <f t="shared" ref="P43:P58" si="2">IF(N43="",""," ")</f>
        <v/>
      </c>
      <c r="Q43" s="68" t="str">
        <f t="shared" ref="Q43:Q58" si="3">CONCATENATE(N43,P43)</f>
        <v/>
      </c>
    </row>
    <row r="44" spans="1:18" ht="12.75" customHeight="1">
      <c r="A44" s="68">
        <v>2</v>
      </c>
      <c r="B44" s="76"/>
      <c r="C44" s="73" t="s">
        <v>2074</v>
      </c>
      <c r="D44" s="75" t="s">
        <v>2073</v>
      </c>
      <c r="E44" s="74">
        <f>IF(D41&lt;-27.9,IF(D41&gt;-32,1,0),0)</f>
        <v>0</v>
      </c>
      <c r="F44" s="73" t="s">
        <v>2057</v>
      </c>
      <c r="G44" s="71">
        <f>IF(F41&lt;5,0,1)</f>
        <v>1</v>
      </c>
      <c r="H44" s="75" t="s">
        <v>2072</v>
      </c>
      <c r="I44" s="74">
        <f>IF(H41&lt;13.1,IF(H41&gt;0,1,0),0)</f>
        <v>0</v>
      </c>
      <c r="J44" s="73" t="s">
        <v>2055</v>
      </c>
      <c r="K44" s="71">
        <f>IF(J41&lt;75,0,1)</f>
        <v>1</v>
      </c>
      <c r="L44" s="68">
        <f>IF(L41&gt;0,IF(M41&gt;0,1,0),0)</f>
        <v>1</v>
      </c>
      <c r="M44" s="71">
        <f t="shared" si="0"/>
        <v>0</v>
      </c>
      <c r="N44" s="68" t="str">
        <f t="shared" si="1"/>
        <v/>
      </c>
      <c r="O44" s="68">
        <f>M59</f>
        <v>5</v>
      </c>
      <c r="P44" s="68" t="str">
        <f t="shared" si="2"/>
        <v/>
      </c>
      <c r="Q44" s="68" t="str">
        <f t="shared" si="3"/>
        <v/>
      </c>
    </row>
    <row r="45" spans="1:18" ht="12.75" customHeight="1">
      <c r="A45" s="68">
        <v>3</v>
      </c>
      <c r="B45" s="76"/>
      <c r="C45" s="73" t="s">
        <v>2071</v>
      </c>
      <c r="D45" s="75" t="s">
        <v>2069</v>
      </c>
      <c r="E45" s="74">
        <f>IF(D41&lt;-13.9,IF(D41&gt;-28,1,0),0)</f>
        <v>0</v>
      </c>
      <c r="F45" s="73" t="s">
        <v>2035</v>
      </c>
      <c r="G45" s="71">
        <f>IF(F41&lt;5,1,0)</f>
        <v>0</v>
      </c>
      <c r="H45" s="75" t="s">
        <v>2056</v>
      </c>
      <c r="I45" s="74">
        <f>IF(H41&lt;21.1,IF(H41&gt;12,1,0),0)</f>
        <v>1</v>
      </c>
      <c r="J45" s="73" t="s">
        <v>2035</v>
      </c>
      <c r="K45" s="72">
        <f>IF(J41&lt;75,1,0)</f>
        <v>0</v>
      </c>
      <c r="L45" s="68">
        <f>IF(L41&gt;0,IF(M41&gt;0,1,0),0)</f>
        <v>1</v>
      </c>
      <c r="M45" s="71">
        <f t="shared" si="0"/>
        <v>0</v>
      </c>
      <c r="N45" s="68" t="str">
        <f t="shared" si="1"/>
        <v/>
      </c>
      <c r="O45" s="68">
        <f>M59</f>
        <v>5</v>
      </c>
      <c r="P45" s="68" t="str">
        <f t="shared" si="2"/>
        <v/>
      </c>
      <c r="Q45" s="68" t="str">
        <f t="shared" si="3"/>
        <v/>
      </c>
    </row>
    <row r="46" spans="1:18" ht="12.75" customHeight="1">
      <c r="A46" s="68">
        <v>4</v>
      </c>
      <c r="B46" s="76"/>
      <c r="C46" s="73" t="s">
        <v>2070</v>
      </c>
      <c r="D46" s="75" t="s">
        <v>2069</v>
      </c>
      <c r="E46" s="74">
        <f>IF(D41&lt;-13.9,IF(D41&gt;-28,1,0),0)</f>
        <v>0</v>
      </c>
      <c r="F46" s="73" t="s">
        <v>2057</v>
      </c>
      <c r="G46" s="71">
        <f>IF(F41&lt;5,0,1)</f>
        <v>1</v>
      </c>
      <c r="H46" s="75" t="s">
        <v>2068</v>
      </c>
      <c r="I46" s="74">
        <f>IF(H41&lt;14.11,IF(H41&gt;0,1,0),0)</f>
        <v>0</v>
      </c>
      <c r="J46" s="73" t="s">
        <v>2055</v>
      </c>
      <c r="K46" s="72">
        <f>IF(J41&lt;75,0,1)</f>
        <v>1</v>
      </c>
      <c r="L46" s="68">
        <f>IF(L41&gt;0,IF(M41&gt;0,1,0),0)</f>
        <v>1</v>
      </c>
      <c r="M46" s="71">
        <f t="shared" si="0"/>
        <v>0</v>
      </c>
      <c r="N46" s="68" t="str">
        <f t="shared" si="1"/>
        <v/>
      </c>
      <c r="O46" s="68">
        <f>M59</f>
        <v>5</v>
      </c>
      <c r="P46" s="68" t="str">
        <f t="shared" si="2"/>
        <v/>
      </c>
      <c r="Q46" s="68" t="str">
        <f t="shared" si="3"/>
        <v/>
      </c>
    </row>
    <row r="47" spans="1:18" ht="12.75" customHeight="1">
      <c r="A47" s="68">
        <v>5</v>
      </c>
      <c r="B47" s="76"/>
      <c r="C47" s="73" t="s">
        <v>2067</v>
      </c>
      <c r="D47" s="75" t="s">
        <v>2066</v>
      </c>
      <c r="E47" s="74">
        <f>IF(D41&lt;-13.9,IF(D41&gt;-32,1,0),0)</f>
        <v>0</v>
      </c>
      <c r="F47" s="73" t="s">
        <v>2035</v>
      </c>
      <c r="G47" s="71">
        <f>IF(F41&lt;5,1,0)</f>
        <v>0</v>
      </c>
      <c r="H47" s="75" t="s">
        <v>2065</v>
      </c>
      <c r="I47" s="74">
        <f>IF(H41&lt;20.1,IF(H41&gt;10,1,0),0)</f>
        <v>0</v>
      </c>
      <c r="J47" s="73" t="s">
        <v>2035</v>
      </c>
      <c r="K47" s="72">
        <f>IF(J41&lt;75,1,0)</f>
        <v>0</v>
      </c>
      <c r="L47" s="68">
        <f>IF(L41&gt;0,IF(M41&gt;0,0,1),1)</f>
        <v>0</v>
      </c>
      <c r="M47" s="71">
        <f t="shared" si="0"/>
        <v>0</v>
      </c>
      <c r="N47" s="68" t="str">
        <f t="shared" si="1"/>
        <v/>
      </c>
      <c r="O47" s="68">
        <f>M59</f>
        <v>5</v>
      </c>
      <c r="P47" s="68" t="str">
        <f t="shared" si="2"/>
        <v/>
      </c>
      <c r="Q47" s="68" t="str">
        <f t="shared" si="3"/>
        <v/>
      </c>
    </row>
    <row r="48" spans="1:18" ht="12.75" customHeight="1">
      <c r="A48" s="68">
        <v>6</v>
      </c>
      <c r="B48" s="76" t="s">
        <v>1994</v>
      </c>
      <c r="C48" s="73" t="s">
        <v>2064</v>
      </c>
      <c r="D48" s="75" t="s">
        <v>2059</v>
      </c>
      <c r="E48" s="74">
        <f>IF(D41&lt;-3.9,IF(D41&gt;-14,1,0),0)</f>
        <v>1</v>
      </c>
      <c r="F48" s="73" t="s">
        <v>2057</v>
      </c>
      <c r="G48" s="71">
        <f>IF(F41&lt;5,0,1)</f>
        <v>1</v>
      </c>
      <c r="H48" s="75" t="s">
        <v>2063</v>
      </c>
      <c r="I48" s="74">
        <f>IF(H41&lt;12.1,IF(H41&gt;8,1,0),0)</f>
        <v>0</v>
      </c>
      <c r="J48" s="73" t="s">
        <v>2055</v>
      </c>
      <c r="K48" s="72">
        <f>IF(J41&lt;75,0,1)</f>
        <v>1</v>
      </c>
      <c r="L48" s="68">
        <f>IF(L41&gt;0,IF(M41&gt;0,1,0),0)</f>
        <v>1</v>
      </c>
      <c r="M48" s="71">
        <f t="shared" si="0"/>
        <v>4</v>
      </c>
      <c r="N48" s="68" t="str">
        <f t="shared" si="1"/>
        <v/>
      </c>
      <c r="O48" s="68">
        <f>M59</f>
        <v>5</v>
      </c>
      <c r="P48" s="68" t="str">
        <f t="shared" si="2"/>
        <v/>
      </c>
      <c r="Q48" s="68" t="str">
        <f t="shared" si="3"/>
        <v/>
      </c>
    </row>
    <row r="49" spans="1:23" ht="12.75" customHeight="1">
      <c r="A49" s="68">
        <v>7</v>
      </c>
      <c r="B49" s="76"/>
      <c r="C49" s="73" t="s">
        <v>2062</v>
      </c>
      <c r="D49" s="75" t="s">
        <v>2061</v>
      </c>
      <c r="E49" s="74">
        <f>IF(D41&lt;-2.9,IF(D41&gt;-5,1,0),0)</f>
        <v>0</v>
      </c>
      <c r="F49" s="73" t="s">
        <v>2057</v>
      </c>
      <c r="G49" s="71">
        <f>IF(F41&lt;5,0,1)</f>
        <v>1</v>
      </c>
      <c r="H49" s="75" t="s">
        <v>2056</v>
      </c>
      <c r="I49" s="74">
        <f>IF(H41&lt;21.1,IF(H41&gt;12,1,0),0)</f>
        <v>1</v>
      </c>
      <c r="J49" s="73" t="s">
        <v>2055</v>
      </c>
      <c r="K49" s="72">
        <f>IF(J41&lt;75,0,1)</f>
        <v>1</v>
      </c>
      <c r="L49" s="68">
        <f>IF(L41&gt;0,IF(M41&gt;0,1,0),0)</f>
        <v>1</v>
      </c>
      <c r="M49" s="71">
        <f t="shared" si="0"/>
        <v>0</v>
      </c>
      <c r="N49" s="68" t="str">
        <f t="shared" si="1"/>
        <v/>
      </c>
      <c r="O49" s="68">
        <f>M59</f>
        <v>5</v>
      </c>
      <c r="P49" s="68" t="str">
        <f t="shared" si="2"/>
        <v/>
      </c>
      <c r="Q49" s="68" t="str">
        <f t="shared" si="3"/>
        <v/>
      </c>
    </row>
    <row r="50" spans="1:23" ht="12.75" customHeight="1">
      <c r="A50" s="68">
        <v>8</v>
      </c>
      <c r="B50" s="76"/>
      <c r="C50" s="73" t="s">
        <v>2060</v>
      </c>
      <c r="D50" s="75" t="s">
        <v>2059</v>
      </c>
      <c r="E50" s="74">
        <f>IF(D41&lt;-3.9,IF(D41&gt;-14,1,0),0)</f>
        <v>1</v>
      </c>
      <c r="F50" s="73" t="s">
        <v>2035</v>
      </c>
      <c r="G50" s="71">
        <f>IF(F41&lt;5,1,0)</f>
        <v>0</v>
      </c>
      <c r="H50" s="75" t="s">
        <v>2056</v>
      </c>
      <c r="I50" s="74">
        <f>IF(H41&lt;21.1,IF(H41&gt;12,1,0),0)</f>
        <v>1</v>
      </c>
      <c r="J50" s="73" t="s">
        <v>2035</v>
      </c>
      <c r="K50" s="72">
        <f>IF(J41&lt;75,1,0)</f>
        <v>0</v>
      </c>
      <c r="L50" s="68">
        <f>IF(L41&gt;0,IF(M41&gt;0,1,0),0)</f>
        <v>1</v>
      </c>
      <c r="M50" s="71">
        <f t="shared" si="0"/>
        <v>3</v>
      </c>
      <c r="N50" s="68" t="str">
        <f t="shared" si="1"/>
        <v/>
      </c>
      <c r="O50" s="68">
        <f>M59</f>
        <v>5</v>
      </c>
      <c r="P50" s="68" t="str">
        <f t="shared" si="2"/>
        <v/>
      </c>
      <c r="Q50" s="68" t="str">
        <f t="shared" si="3"/>
        <v/>
      </c>
    </row>
    <row r="51" spans="1:23" ht="12.75" customHeight="1">
      <c r="A51" s="68">
        <v>9</v>
      </c>
      <c r="B51" s="76"/>
      <c r="C51" s="73" t="s">
        <v>2058</v>
      </c>
      <c r="D51" s="75" t="s">
        <v>2049</v>
      </c>
      <c r="E51" s="74">
        <f>IF(D41&lt;-4.9,IF(D41&gt;-14,1,0),0)</f>
        <v>1</v>
      </c>
      <c r="F51" s="73" t="s">
        <v>2057</v>
      </c>
      <c r="G51" s="71">
        <f>IF(F41&lt;5,0,1)</f>
        <v>1</v>
      </c>
      <c r="H51" s="75" t="s">
        <v>2056</v>
      </c>
      <c r="I51" s="74">
        <f>IF(H41&lt;21.1,IF(H41&gt;12,1,0),0)</f>
        <v>1</v>
      </c>
      <c r="J51" s="73" t="s">
        <v>2055</v>
      </c>
      <c r="K51" s="72">
        <f>IF(J41&lt;75,0,1)</f>
        <v>1</v>
      </c>
      <c r="L51" s="68">
        <f>IF(L41&gt;0,IF(M41&gt;0,1,0),0)</f>
        <v>1</v>
      </c>
      <c r="M51" s="71">
        <f t="shared" si="0"/>
        <v>5</v>
      </c>
      <c r="N51" s="68" t="str">
        <f t="shared" si="1"/>
        <v>IIГ</v>
      </c>
      <c r="O51" s="68">
        <f>M59</f>
        <v>5</v>
      </c>
      <c r="P51" s="68" t="str">
        <f t="shared" si="2"/>
        <v xml:space="preserve"> </v>
      </c>
      <c r="Q51" s="68" t="str">
        <f t="shared" si="3"/>
        <v xml:space="preserve">IIГ </v>
      </c>
    </row>
    <row r="52" spans="1:23" ht="12.75" customHeight="1">
      <c r="A52" s="68">
        <v>10</v>
      </c>
      <c r="B52" s="76" t="s">
        <v>1993</v>
      </c>
      <c r="C52" s="73" t="s">
        <v>2054</v>
      </c>
      <c r="D52" s="75" t="s">
        <v>2053</v>
      </c>
      <c r="E52" s="74">
        <f>IF(D41&lt;-13.9,IF(D41&gt;-20,1,0),0)</f>
        <v>0</v>
      </c>
      <c r="F52" s="73" t="s">
        <v>2035</v>
      </c>
      <c r="G52" s="71">
        <f>IF(F41&lt;5,1,0)</f>
        <v>0</v>
      </c>
      <c r="H52" s="75" t="s">
        <v>2048</v>
      </c>
      <c r="I52" s="74">
        <f>IF(H41&lt;25.1,IF(H41&gt;21,1,0),0)</f>
        <v>0</v>
      </c>
      <c r="J52" s="73" t="s">
        <v>2035</v>
      </c>
      <c r="K52" s="72">
        <f>IF(J41&lt;75,1,0)</f>
        <v>0</v>
      </c>
      <c r="L52" s="68">
        <f>IF(L41&gt;0,IF(M41&gt;0,1,0),0)</f>
        <v>1</v>
      </c>
      <c r="M52" s="71">
        <f t="shared" si="0"/>
        <v>0</v>
      </c>
      <c r="N52" s="68" t="str">
        <f t="shared" si="1"/>
        <v/>
      </c>
      <c r="O52" s="68">
        <f>M59</f>
        <v>5</v>
      </c>
      <c r="P52" s="68" t="str">
        <f t="shared" si="2"/>
        <v/>
      </c>
      <c r="Q52" s="68" t="str">
        <f t="shared" si="3"/>
        <v/>
      </c>
    </row>
    <row r="53" spans="1:23" ht="12.75" customHeight="1">
      <c r="A53" s="68">
        <v>11</v>
      </c>
      <c r="B53" s="76"/>
      <c r="C53" s="73" t="s">
        <v>2052</v>
      </c>
      <c r="D53" s="75" t="s">
        <v>2051</v>
      </c>
      <c r="E53" s="74">
        <f>IF(D41&lt;2.1,IF(D41&gt;-5,1,0),0)</f>
        <v>0</v>
      </c>
      <c r="F53" s="73" t="s">
        <v>2035</v>
      </c>
      <c r="G53" s="71">
        <f>IF(F41&lt;5,1,0)</f>
        <v>0</v>
      </c>
      <c r="H53" s="75" t="s">
        <v>2048</v>
      </c>
      <c r="I53" s="74">
        <f>IF(H41&lt;25.1,IF(H41&gt;21,1,0),0)</f>
        <v>0</v>
      </c>
      <c r="J53" s="73" t="s">
        <v>2035</v>
      </c>
      <c r="K53" s="72">
        <f>IF(J41&lt;75,1,0)</f>
        <v>0</v>
      </c>
      <c r="L53" s="68">
        <f>IF(L41&gt;0,IF(M41&gt;0,1,0),0)</f>
        <v>1</v>
      </c>
      <c r="M53" s="71">
        <f t="shared" si="0"/>
        <v>0</v>
      </c>
      <c r="N53" s="68" t="str">
        <f t="shared" si="1"/>
        <v/>
      </c>
      <c r="O53" s="68">
        <f>M59</f>
        <v>5</v>
      </c>
      <c r="P53" s="68" t="str">
        <f t="shared" si="2"/>
        <v/>
      </c>
      <c r="Q53" s="68" t="str">
        <f t="shared" si="3"/>
        <v/>
      </c>
    </row>
    <row r="54" spans="1:23" ht="12.75" customHeight="1">
      <c r="A54" s="68">
        <v>12</v>
      </c>
      <c r="B54" s="76"/>
      <c r="C54" s="73" t="s">
        <v>2050</v>
      </c>
      <c r="D54" s="75" t="s">
        <v>2049</v>
      </c>
      <c r="E54" s="74">
        <f>IF(D41&lt;-4.9,IF(D41&gt;-14,1,0),0)</f>
        <v>1</v>
      </c>
      <c r="F54" s="73" t="s">
        <v>2035</v>
      </c>
      <c r="G54" s="71">
        <f>IF(F41&lt;5,1,0)</f>
        <v>0</v>
      </c>
      <c r="H54" s="75" t="s">
        <v>2048</v>
      </c>
      <c r="I54" s="74">
        <f>IF(H41&lt;25.1,IF(H41&gt;21,1,0),0)</f>
        <v>0</v>
      </c>
      <c r="J54" s="73" t="s">
        <v>2035</v>
      </c>
      <c r="K54" s="72">
        <f>IF(J41&lt;75,1,0)</f>
        <v>0</v>
      </c>
      <c r="L54" s="68">
        <f>IF(L41&gt;0,IF(M41&gt;0,1,0),0)</f>
        <v>1</v>
      </c>
      <c r="M54" s="71">
        <f t="shared" si="0"/>
        <v>2</v>
      </c>
      <c r="N54" s="68" t="str">
        <f t="shared" si="1"/>
        <v/>
      </c>
      <c r="O54" s="68">
        <f>M59</f>
        <v>5</v>
      </c>
      <c r="P54" s="68" t="str">
        <f t="shared" si="2"/>
        <v/>
      </c>
      <c r="Q54" s="68" t="str">
        <f t="shared" si="3"/>
        <v/>
      </c>
    </row>
    <row r="55" spans="1:23" ht="12.75" customHeight="1">
      <c r="A55" s="68">
        <v>13</v>
      </c>
      <c r="B55" s="76" t="s">
        <v>1992</v>
      </c>
      <c r="C55" s="73" t="s">
        <v>2047</v>
      </c>
      <c r="D55" s="75" t="s">
        <v>2046</v>
      </c>
      <c r="E55" s="74">
        <f>IF(D41&lt;2.1,IF(D41&gt;-10,1,0),0)</f>
        <v>1</v>
      </c>
      <c r="F55" s="73" t="s">
        <v>2035</v>
      </c>
      <c r="G55" s="71">
        <f>IF(F41&lt;5,1,0)</f>
        <v>0</v>
      </c>
      <c r="H55" s="75" t="s">
        <v>2045</v>
      </c>
      <c r="I55" s="74">
        <f>IF(H41&lt;100,IF(H41&gt;28,1,0),0)</f>
        <v>0</v>
      </c>
      <c r="J55" s="73" t="s">
        <v>2035</v>
      </c>
      <c r="K55" s="72">
        <f>IF(J41&lt;75,1,0)</f>
        <v>0</v>
      </c>
      <c r="L55" s="68">
        <f>IF(L41&gt;0,IF(M41&gt;0,1,0),0)</f>
        <v>1</v>
      </c>
      <c r="M55" s="71">
        <f t="shared" si="0"/>
        <v>2</v>
      </c>
      <c r="N55" s="68" t="str">
        <f t="shared" si="1"/>
        <v/>
      </c>
      <c r="O55" s="68">
        <f>M59</f>
        <v>5</v>
      </c>
      <c r="P55" s="68" t="str">
        <f t="shared" si="2"/>
        <v/>
      </c>
      <c r="Q55" s="68" t="str">
        <f t="shared" si="3"/>
        <v/>
      </c>
    </row>
    <row r="56" spans="1:23" ht="12.75" customHeight="1">
      <c r="A56" s="68">
        <v>14</v>
      </c>
      <c r="B56" s="76"/>
      <c r="C56" s="73" t="s">
        <v>2044</v>
      </c>
      <c r="D56" s="75" t="s">
        <v>2043</v>
      </c>
      <c r="E56" s="74">
        <f>IF(D41&lt;26.1,IF(D41&gt;2,1,0),0)</f>
        <v>0</v>
      </c>
      <c r="F56" s="73" t="s">
        <v>2035</v>
      </c>
      <c r="G56" s="71">
        <f>IF(F41&lt;5,1,0)</f>
        <v>0</v>
      </c>
      <c r="H56" s="75" t="s">
        <v>2042</v>
      </c>
      <c r="I56" s="74">
        <f>IF(H41&lt;28.1,IF(H41&gt;22,1,0),0)</f>
        <v>0</v>
      </c>
      <c r="J56" s="73" t="s">
        <v>2041</v>
      </c>
      <c r="K56" s="73">
        <f>IF(K41&lt;50,0,1)</f>
        <v>1</v>
      </c>
      <c r="L56" s="73">
        <f>IF(L41&gt;0,IF(M41&gt;0,1,0),0)</f>
        <v>1</v>
      </c>
      <c r="M56" s="71">
        <f t="shared" si="0"/>
        <v>0</v>
      </c>
      <c r="N56" s="68" t="str">
        <f t="shared" si="1"/>
        <v/>
      </c>
      <c r="O56" s="68">
        <f>M59</f>
        <v>5</v>
      </c>
      <c r="P56" s="68" t="str">
        <f t="shared" si="2"/>
        <v/>
      </c>
      <c r="Q56" s="68" t="str">
        <f t="shared" si="3"/>
        <v/>
      </c>
    </row>
    <row r="57" spans="1:23" ht="12.75" customHeight="1">
      <c r="A57" s="68">
        <v>15</v>
      </c>
      <c r="B57" s="76"/>
      <c r="C57" s="73" t="s">
        <v>2040</v>
      </c>
      <c r="D57" s="75" t="s">
        <v>2039</v>
      </c>
      <c r="E57" s="74">
        <f>IF(D41&lt;2.1,IF(D41&gt;0,1,0),0)</f>
        <v>0</v>
      </c>
      <c r="F57" s="73" t="s">
        <v>2035</v>
      </c>
      <c r="G57" s="71">
        <f>IF(F41&lt;5,1,0)</f>
        <v>0</v>
      </c>
      <c r="H57" s="75" t="s">
        <v>2036</v>
      </c>
      <c r="I57" s="74">
        <f>IF(H41&lt;28.1,IF(H41&gt;25,1,0),0)</f>
        <v>0</v>
      </c>
      <c r="J57" s="73" t="s">
        <v>2035</v>
      </c>
      <c r="K57" s="72">
        <f>IF(J41&lt;75,1,0)</f>
        <v>0</v>
      </c>
      <c r="L57" s="68">
        <f>IF(L41&gt;0,IF(M41&gt;0,1,0),0)</f>
        <v>1</v>
      </c>
      <c r="M57" s="71">
        <f t="shared" si="0"/>
        <v>0</v>
      </c>
      <c r="N57" s="68" t="str">
        <f t="shared" si="1"/>
        <v/>
      </c>
      <c r="O57" s="68">
        <f>M59</f>
        <v>5</v>
      </c>
      <c r="P57" s="68" t="str">
        <f t="shared" si="2"/>
        <v/>
      </c>
      <c r="Q57" s="68" t="str">
        <f t="shared" si="3"/>
        <v/>
      </c>
    </row>
    <row r="58" spans="1:23" ht="12.75" customHeight="1" thickBot="1">
      <c r="A58" s="68">
        <v>16</v>
      </c>
      <c r="B58" s="76"/>
      <c r="C58" s="73" t="s">
        <v>2038</v>
      </c>
      <c r="D58" s="75" t="s">
        <v>2037</v>
      </c>
      <c r="E58" s="74">
        <f>IF(D41&lt;0.1,IF(D41&gt;-114.9,1,0),0)</f>
        <v>1</v>
      </c>
      <c r="F58" s="73" t="s">
        <v>2035</v>
      </c>
      <c r="G58" s="71">
        <f>IF(F41&lt;5,1,0)</f>
        <v>0</v>
      </c>
      <c r="H58" s="75" t="s">
        <v>2036</v>
      </c>
      <c r="I58" s="74">
        <f>IF(H41&lt;28.1,IF(H41&gt;25,1,0),0)</f>
        <v>0</v>
      </c>
      <c r="J58" s="73" t="s">
        <v>2035</v>
      </c>
      <c r="K58" s="72">
        <f>IF(J41&lt;75,1,0)</f>
        <v>0</v>
      </c>
      <c r="L58" s="68">
        <f>IF(L41&gt;0,IF(M41&gt;0,1,0),0)</f>
        <v>1</v>
      </c>
      <c r="M58" s="71">
        <f t="shared" si="0"/>
        <v>2</v>
      </c>
      <c r="N58" s="68" t="str">
        <f t="shared" si="1"/>
        <v/>
      </c>
      <c r="O58" s="68">
        <f>M59</f>
        <v>5</v>
      </c>
      <c r="P58" s="68" t="str">
        <f t="shared" si="2"/>
        <v/>
      </c>
      <c r="Q58" s="68" t="str">
        <f t="shared" si="3"/>
        <v/>
      </c>
    </row>
    <row r="59" spans="1:23" ht="36" customHeight="1" thickBot="1">
      <c r="B59" s="622" t="s">
        <v>2034</v>
      </c>
      <c r="C59" s="623"/>
      <c r="D59" s="623"/>
      <c r="E59" s="623"/>
      <c r="F59" s="623"/>
      <c r="G59" s="623"/>
      <c r="H59" s="623"/>
      <c r="I59" s="623"/>
      <c r="J59" s="624"/>
      <c r="K59" s="70"/>
      <c r="M59" s="68">
        <f>MAX(M43:M58)</f>
        <v>5</v>
      </c>
      <c r="Q59" s="69" t="str">
        <f>CONCATENATE(Q43,Q44,Q45,Q46,Q47)</f>
        <v/>
      </c>
      <c r="R59" s="69" t="str">
        <f>CONCATENATE(Q59,Q48,Q49,Q50,Q51)</f>
        <v xml:space="preserve">IIГ </v>
      </c>
      <c r="S59" s="69" t="str">
        <f>CONCATENATE(R59,Q52,Q53,Q54,Q55)</f>
        <v xml:space="preserve">IIГ </v>
      </c>
      <c r="T59" s="69" t="str">
        <f>CONCATENATE(S59,Q56,Q57,Q58)</f>
        <v xml:space="preserve">IIГ </v>
      </c>
      <c r="U59" s="69"/>
      <c r="V59" s="69"/>
      <c r="W59" s="69"/>
    </row>
  </sheetData>
  <mergeCells count="9">
    <mergeCell ref="B59:J59"/>
    <mergeCell ref="C17:J17"/>
    <mergeCell ref="C18:J18"/>
    <mergeCell ref="C19:J19"/>
    <mergeCell ref="B20:B21"/>
    <mergeCell ref="C20:C21"/>
    <mergeCell ref="D20:D21"/>
    <mergeCell ref="E20:E21"/>
    <mergeCell ref="F20:F21"/>
  </mergeCells>
  <pageMargins left="0.7" right="0.7" top="0.75" bottom="0.75" header="0.3" footer="0.3"/>
  <pageSetup paperSize="9" orientation="portrait" verticalDpi="0" r:id="rId1"/>
  <legacyDrawing r:id="rId2"/>
  <oleObjects>
    <oleObject progId="Equation.3" shapeId="2049" r:id="rId3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W263"/>
  <sheetViews>
    <sheetView showGridLines="0" showRowColHeaders="0" topLeftCell="B1" workbookViewId="0">
      <pane ySplit="1" topLeftCell="A2" activePane="bottomLeft" state="frozen"/>
      <selection activeCell="B1" sqref="B1"/>
      <selection pane="bottomLeft" activeCell="F1" sqref="F1"/>
    </sheetView>
  </sheetViews>
  <sheetFormatPr defaultRowHeight="14.5"/>
  <cols>
    <col min="1" max="1" width="9.1796875" hidden="1" customWidth="1"/>
    <col min="2" max="2" width="7.1796875" customWidth="1"/>
    <col min="3" max="15" width="9.08984375" customWidth="1"/>
    <col min="16" max="16" width="9.36328125" customWidth="1"/>
    <col min="17" max="17" width="5.453125" customWidth="1"/>
    <col min="19" max="19" width="5.90625" customWidth="1"/>
  </cols>
  <sheetData>
    <row r="1" spans="2:23" ht="21" customHeight="1" thickTop="1" thickBot="1">
      <c r="C1" s="204" t="s">
        <v>2612</v>
      </c>
      <c r="D1" s="278" t="s">
        <v>2682</v>
      </c>
      <c r="E1" s="323" t="s">
        <v>2662</v>
      </c>
      <c r="F1" s="204" t="s">
        <v>2603</v>
      </c>
      <c r="G1" s="278" t="s">
        <v>2604</v>
      </c>
      <c r="H1" s="278" t="s">
        <v>2613</v>
      </c>
      <c r="I1" s="204" t="s">
        <v>2607</v>
      </c>
      <c r="J1" s="278" t="s">
        <v>2614</v>
      </c>
      <c r="K1" s="278" t="s">
        <v>2608</v>
      </c>
      <c r="L1" s="519" t="s">
        <v>2605</v>
      </c>
      <c r="M1" s="520"/>
      <c r="N1" s="278" t="s">
        <v>2606</v>
      </c>
      <c r="O1" s="278" t="s">
        <v>2634</v>
      </c>
    </row>
    <row r="2" spans="2:23" ht="15" customHeight="1" thickTop="1">
      <c r="B2" s="284"/>
      <c r="C2" s="706" t="s">
        <v>2710</v>
      </c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8"/>
      <c r="P2" s="793"/>
      <c r="Q2" s="794"/>
      <c r="R2" s="794"/>
      <c r="S2" s="794"/>
      <c r="T2" s="113" t="s">
        <v>2703</v>
      </c>
    </row>
    <row r="3" spans="2:23" ht="14.5" customHeight="1" thickBot="1">
      <c r="C3" s="709"/>
      <c r="D3" s="710"/>
      <c r="E3" s="710"/>
      <c r="F3" s="710"/>
      <c r="G3" s="710"/>
      <c r="H3" s="710"/>
      <c r="I3" s="710"/>
      <c r="J3" s="710"/>
      <c r="K3" s="710"/>
      <c r="L3" s="710"/>
      <c r="M3" s="710"/>
      <c r="N3" s="710"/>
      <c r="O3" s="711"/>
      <c r="P3" s="793"/>
      <c r="Q3" s="795"/>
      <c r="R3" s="795"/>
      <c r="S3" s="795"/>
      <c r="T3" s="113" t="s">
        <v>2704</v>
      </c>
    </row>
    <row r="4" spans="2:23" ht="10.5" customHeight="1" thickTop="1">
      <c r="C4" s="504" t="s">
        <v>0</v>
      </c>
      <c r="D4" s="712"/>
      <c r="E4" s="712"/>
      <c r="F4" s="712"/>
      <c r="G4" s="712"/>
      <c r="H4" s="712"/>
      <c r="I4" s="713"/>
      <c r="J4" s="477" t="s">
        <v>1</v>
      </c>
      <c r="K4" s="479"/>
      <c r="L4" s="477" t="s">
        <v>2</v>
      </c>
      <c r="M4" s="479"/>
      <c r="N4" s="478" t="s">
        <v>3</v>
      </c>
      <c r="O4" s="479"/>
      <c r="P4" s="791"/>
      <c r="Q4" s="791"/>
      <c r="R4" s="791"/>
      <c r="S4" s="791"/>
      <c r="T4" s="113" t="s">
        <v>2133</v>
      </c>
      <c r="U4" s="114">
        <f>J22</f>
        <v>13</v>
      </c>
      <c r="V4" s="113">
        <f>N22</f>
        <v>4550</v>
      </c>
      <c r="W4" s="113" t="s">
        <v>2121</v>
      </c>
    </row>
    <row r="5" spans="2:23" ht="10.5" customHeight="1">
      <c r="C5" s="714"/>
      <c r="D5" s="715"/>
      <c r="E5" s="715"/>
      <c r="F5" s="715"/>
      <c r="G5" s="715"/>
      <c r="H5" s="715"/>
      <c r="I5" s="716"/>
      <c r="J5" s="480"/>
      <c r="K5" s="482"/>
      <c r="L5" s="480"/>
      <c r="M5" s="482"/>
      <c r="N5" s="481"/>
      <c r="O5" s="482"/>
      <c r="P5" s="791"/>
      <c r="Q5" s="791"/>
      <c r="R5" s="791"/>
      <c r="S5" s="791"/>
      <c r="T5" s="113" t="s">
        <v>2134</v>
      </c>
      <c r="U5" s="115">
        <f>J28</f>
        <v>4.585</v>
      </c>
      <c r="V5" s="113">
        <f>N28</f>
        <v>185.6925</v>
      </c>
      <c r="W5" s="113" t="s">
        <v>2127</v>
      </c>
    </row>
    <row r="6" spans="2:23" ht="10.5" customHeight="1" thickBot="1">
      <c r="C6" s="717"/>
      <c r="D6" s="710"/>
      <c r="E6" s="710"/>
      <c r="F6" s="710"/>
      <c r="G6" s="710"/>
      <c r="H6" s="710"/>
      <c r="I6" s="711"/>
      <c r="J6" s="483"/>
      <c r="K6" s="485"/>
      <c r="L6" s="483"/>
      <c r="M6" s="485"/>
      <c r="N6" s="484"/>
      <c r="O6" s="485"/>
      <c r="P6" s="791"/>
      <c r="Q6" s="791"/>
      <c r="R6" s="791"/>
      <c r="S6" s="791"/>
      <c r="T6" s="113" t="s">
        <v>2135</v>
      </c>
      <c r="U6" s="115">
        <f>J16+J40</f>
        <v>7.4763999999999999</v>
      </c>
      <c r="V6" s="113">
        <f>N16+N40</f>
        <v>462.67840000000001</v>
      </c>
      <c r="W6" s="113" t="s">
        <v>2128</v>
      </c>
    </row>
    <row r="7" spans="2:23" ht="6" customHeight="1" thickTop="1">
      <c r="C7" s="730" t="str">
        <f>'Район фунд.'!AJ18</f>
        <v>Продольная арматура АIII Ф           мм.</v>
      </c>
      <c r="D7" s="731"/>
      <c r="E7" s="731"/>
      <c r="F7" s="732">
        <f>'Лист2 (2)'!K37</f>
        <v>10</v>
      </c>
      <c r="G7" s="735" t="s">
        <v>2616</v>
      </c>
      <c r="H7" s="270"/>
      <c r="I7" s="271"/>
      <c r="J7" s="683">
        <f>'Район фунд.'!AQ18</f>
        <v>40.012740322036706</v>
      </c>
      <c r="K7" s="687" t="s">
        <v>2155</v>
      </c>
      <c r="L7" s="668">
        <v>20</v>
      </c>
      <c r="M7" s="666" t="str">
        <f>IF('из города'!$AG$9=3,"Дол.",IF('из города'!$AG$9=1,"Руб.","Грн."))</f>
        <v>Грн.</v>
      </c>
      <c r="N7" s="664">
        <f>J7*L7</f>
        <v>800.25480644073411</v>
      </c>
      <c r="O7" s="652" t="str">
        <f>IF('из города'!$AG$9=3,"Дол.",IF('из города'!$AG$9=1,"Руб.","Грн."))</f>
        <v>Грн.</v>
      </c>
      <c r="P7" s="638"/>
      <c r="Q7" s="790"/>
      <c r="R7" s="638"/>
      <c r="S7" s="790"/>
      <c r="T7" s="433">
        <f t="shared" ref="T7:T38" si="0">J7</f>
        <v>40.012740322036706</v>
      </c>
      <c r="U7" s="426">
        <f t="shared" ref="U7:U38" si="1">N7</f>
        <v>800.25480644073411</v>
      </c>
    </row>
    <row r="8" spans="2:23" ht="6" customHeight="1">
      <c r="C8" s="645"/>
      <c r="D8" s="646"/>
      <c r="E8" s="646"/>
      <c r="F8" s="733"/>
      <c r="G8" s="736"/>
      <c r="H8" s="391"/>
      <c r="I8" s="272"/>
      <c r="J8" s="664"/>
      <c r="K8" s="687"/>
      <c r="L8" s="668"/>
      <c r="M8" s="666"/>
      <c r="N8" s="664"/>
      <c r="O8" s="652"/>
      <c r="P8" s="638"/>
      <c r="Q8" s="790"/>
      <c r="R8" s="638"/>
      <c r="S8" s="790"/>
      <c r="T8" s="433">
        <f t="shared" si="0"/>
        <v>0</v>
      </c>
      <c r="U8" s="426">
        <f t="shared" si="1"/>
        <v>0</v>
      </c>
    </row>
    <row r="9" spans="2:23" ht="6" customHeight="1">
      <c r="C9" s="648"/>
      <c r="D9" s="649"/>
      <c r="E9" s="649"/>
      <c r="F9" s="734"/>
      <c r="G9" s="737"/>
      <c r="H9" s="273"/>
      <c r="I9" s="274"/>
      <c r="J9" s="682"/>
      <c r="K9" s="688"/>
      <c r="L9" s="689"/>
      <c r="M9" s="681"/>
      <c r="N9" s="682"/>
      <c r="O9" s="690"/>
      <c r="P9" s="638"/>
      <c r="Q9" s="790"/>
      <c r="R9" s="638"/>
      <c r="S9" s="790"/>
      <c r="T9" s="433">
        <f t="shared" si="0"/>
        <v>0</v>
      </c>
      <c r="U9" s="426">
        <f t="shared" si="1"/>
        <v>0</v>
      </c>
    </row>
    <row r="10" spans="2:23" ht="6" customHeight="1">
      <c r="C10" s="738" t="str">
        <f>'Район фунд.'!AJ20</f>
        <v>Хомут - арматура АIII    Ф           мм.</v>
      </c>
      <c r="D10" s="739"/>
      <c r="E10" s="739"/>
      <c r="F10" s="744">
        <f>'Лист2 (2)'!K25</f>
        <v>8</v>
      </c>
      <c r="G10" s="745" t="s">
        <v>2616</v>
      </c>
      <c r="H10" s="275"/>
      <c r="I10" s="276"/>
      <c r="J10" s="726">
        <f>'Район фунд.'!AQ20</f>
        <v>13.272000000000002</v>
      </c>
      <c r="K10" s="686" t="s">
        <v>12</v>
      </c>
      <c r="L10" s="667">
        <v>20</v>
      </c>
      <c r="M10" s="665" t="str">
        <f>IF('из города'!$AG$9=3,"Дол.",IF('из города'!$AG$9=1,"Руб.","Грн."))</f>
        <v>Грн.</v>
      </c>
      <c r="N10" s="663">
        <f>J10*L10</f>
        <v>265.44000000000005</v>
      </c>
      <c r="O10" s="651" t="str">
        <f>IF('из города'!$AG$9=3,"Дол.",IF('из города'!$AG$9=1,"Руб.","Грн."))</f>
        <v>Грн.</v>
      </c>
      <c r="P10" s="638"/>
      <c r="Q10" s="790"/>
      <c r="R10" s="638"/>
      <c r="S10" s="790"/>
      <c r="T10" s="433">
        <f t="shared" si="0"/>
        <v>13.272000000000002</v>
      </c>
      <c r="U10" s="426">
        <f t="shared" si="1"/>
        <v>265.44000000000005</v>
      </c>
    </row>
    <row r="11" spans="2:23" ht="6" customHeight="1">
      <c r="C11" s="740"/>
      <c r="D11" s="741"/>
      <c r="E11" s="741"/>
      <c r="F11" s="733"/>
      <c r="G11" s="736"/>
      <c r="H11" s="266"/>
      <c r="I11" s="267"/>
      <c r="J11" s="727"/>
      <c r="K11" s="687"/>
      <c r="L11" s="668"/>
      <c r="M11" s="666"/>
      <c r="N11" s="664"/>
      <c r="O11" s="652"/>
      <c r="P11" s="638"/>
      <c r="Q11" s="790"/>
      <c r="R11" s="638"/>
      <c r="S11" s="790"/>
      <c r="T11" s="433">
        <f t="shared" si="0"/>
        <v>0</v>
      </c>
      <c r="U11" s="426">
        <f t="shared" si="1"/>
        <v>0</v>
      </c>
    </row>
    <row r="12" spans="2:23" ht="6" customHeight="1">
      <c r="C12" s="742"/>
      <c r="D12" s="743"/>
      <c r="E12" s="743"/>
      <c r="F12" s="734"/>
      <c r="G12" s="737"/>
      <c r="H12" s="268"/>
      <c r="I12" s="269"/>
      <c r="J12" s="583"/>
      <c r="K12" s="688"/>
      <c r="L12" s="689"/>
      <c r="M12" s="681"/>
      <c r="N12" s="682"/>
      <c r="O12" s="690"/>
      <c r="P12" s="638"/>
      <c r="Q12" s="790"/>
      <c r="R12" s="638"/>
      <c r="S12" s="790"/>
      <c r="T12" s="433">
        <f t="shared" si="0"/>
        <v>0</v>
      </c>
      <c r="U12" s="426">
        <f t="shared" si="1"/>
        <v>0</v>
      </c>
    </row>
    <row r="13" spans="2:23" ht="6" customHeight="1">
      <c r="C13" s="677" t="str">
        <f>'Район фунд.'!AJ22</f>
        <v>Бетон М300</v>
      </c>
      <c r="D13" s="643"/>
      <c r="E13" s="643"/>
      <c r="F13" s="643"/>
      <c r="G13" s="643"/>
      <c r="H13" s="643"/>
      <c r="I13" s="644"/>
      <c r="J13" s="726">
        <f>'Район фунд.'!AS22</f>
        <v>1.3927818033456389</v>
      </c>
      <c r="K13" s="686" t="s">
        <v>2108</v>
      </c>
      <c r="L13" s="667">
        <v>1400</v>
      </c>
      <c r="M13" s="665" t="str">
        <f>IF('из города'!$AG$9=3,"Дол.",IF('из города'!$AG$9=1,"Руб.","Грн."))</f>
        <v>Грн.</v>
      </c>
      <c r="N13" s="663">
        <f>J13*L13</f>
        <v>1949.8945246838946</v>
      </c>
      <c r="O13" s="651" t="str">
        <f>IF('из города'!$AG$9=3,"Дол.",IF('из города'!$AG$9=1,"Руб.","Грн."))</f>
        <v>Грн.</v>
      </c>
      <c r="P13" s="638"/>
      <c r="Q13" s="790"/>
      <c r="R13" s="638"/>
      <c r="S13" s="790"/>
      <c r="T13" s="433">
        <f t="shared" si="0"/>
        <v>1.3927818033456389</v>
      </c>
      <c r="U13" s="426">
        <f t="shared" si="1"/>
        <v>1949.8945246838946</v>
      </c>
    </row>
    <row r="14" spans="2:23" ht="6" customHeight="1">
      <c r="C14" s="645"/>
      <c r="D14" s="646"/>
      <c r="E14" s="646"/>
      <c r="F14" s="646"/>
      <c r="G14" s="646"/>
      <c r="H14" s="646"/>
      <c r="I14" s="647"/>
      <c r="J14" s="728"/>
      <c r="K14" s="687"/>
      <c r="L14" s="668"/>
      <c r="M14" s="666"/>
      <c r="N14" s="664"/>
      <c r="O14" s="652"/>
      <c r="P14" s="638"/>
      <c r="Q14" s="790"/>
      <c r="R14" s="638"/>
      <c r="S14" s="790"/>
      <c r="T14" s="433">
        <f t="shared" si="0"/>
        <v>0</v>
      </c>
      <c r="U14" s="426">
        <f t="shared" si="1"/>
        <v>0</v>
      </c>
    </row>
    <row r="15" spans="2:23" ht="6" customHeight="1">
      <c r="C15" s="648"/>
      <c r="D15" s="649"/>
      <c r="E15" s="649"/>
      <c r="F15" s="649"/>
      <c r="G15" s="649"/>
      <c r="H15" s="649"/>
      <c r="I15" s="650"/>
      <c r="J15" s="729"/>
      <c r="K15" s="688"/>
      <c r="L15" s="689"/>
      <c r="M15" s="681"/>
      <c r="N15" s="682"/>
      <c r="O15" s="690"/>
      <c r="P15" s="638"/>
      <c r="Q15" s="790"/>
      <c r="R15" s="638"/>
      <c r="S15" s="790"/>
      <c r="T15" s="433">
        <f t="shared" si="0"/>
        <v>0</v>
      </c>
      <c r="U15" s="426">
        <f t="shared" si="1"/>
        <v>0</v>
      </c>
    </row>
    <row r="16" spans="2:23" ht="6" customHeight="1">
      <c r="C16" s="677" t="str">
        <f>'Район фунд.'!AJ24</f>
        <v>Рубероид (Рулон 15м)</v>
      </c>
      <c r="D16" s="643"/>
      <c r="E16" s="643"/>
      <c r="F16" s="643"/>
      <c r="G16" s="643"/>
      <c r="H16" s="643"/>
      <c r="I16" s="644"/>
      <c r="J16" s="684">
        <f>'Район фунд.'!AU24</f>
        <v>1</v>
      </c>
      <c r="K16" s="686" t="s">
        <v>2628</v>
      </c>
      <c r="L16" s="667">
        <v>100</v>
      </c>
      <c r="M16" s="665" t="str">
        <f>IF('из города'!$AG$9=3,"Дол.",IF('из города'!$AG$9=1,"Руб.","Грн."))</f>
        <v>Грн.</v>
      </c>
      <c r="N16" s="663">
        <f>J16*L16</f>
        <v>100</v>
      </c>
      <c r="O16" s="651" t="str">
        <f>IF('из города'!$AG$9=3,"Дол.",IF('из города'!$AG$9=1,"Руб.","Грн."))</f>
        <v>Грн.</v>
      </c>
      <c r="P16" s="638"/>
      <c r="Q16" s="790"/>
      <c r="R16" s="638"/>
      <c r="S16" s="790"/>
      <c r="T16" s="433">
        <f t="shared" si="0"/>
        <v>1</v>
      </c>
      <c r="U16" s="426">
        <f t="shared" si="1"/>
        <v>100</v>
      </c>
    </row>
    <row r="17" spans="3:21" ht="6" customHeight="1">
      <c r="C17" s="645"/>
      <c r="D17" s="646"/>
      <c r="E17" s="646"/>
      <c r="F17" s="646"/>
      <c r="G17" s="646"/>
      <c r="H17" s="646"/>
      <c r="I17" s="647"/>
      <c r="J17" s="683"/>
      <c r="K17" s="687"/>
      <c r="L17" s="668"/>
      <c r="M17" s="666"/>
      <c r="N17" s="664"/>
      <c r="O17" s="652"/>
      <c r="P17" s="638"/>
      <c r="Q17" s="790"/>
      <c r="R17" s="638"/>
      <c r="S17" s="790"/>
      <c r="T17" s="433">
        <f t="shared" si="0"/>
        <v>0</v>
      </c>
      <c r="U17" s="426">
        <f t="shared" si="1"/>
        <v>0</v>
      </c>
    </row>
    <row r="18" spans="3:21" ht="6" customHeight="1">
      <c r="C18" s="648"/>
      <c r="D18" s="649"/>
      <c r="E18" s="649"/>
      <c r="F18" s="649"/>
      <c r="G18" s="649"/>
      <c r="H18" s="649"/>
      <c r="I18" s="650"/>
      <c r="J18" s="685"/>
      <c r="K18" s="688"/>
      <c r="L18" s="689"/>
      <c r="M18" s="681"/>
      <c r="N18" s="682"/>
      <c r="O18" s="690"/>
      <c r="P18" s="638"/>
      <c r="Q18" s="790"/>
      <c r="R18" s="638"/>
      <c r="S18" s="790"/>
      <c r="T18" s="433">
        <f t="shared" si="0"/>
        <v>0</v>
      </c>
      <c r="U18" s="426">
        <f t="shared" si="1"/>
        <v>0</v>
      </c>
    </row>
    <row r="19" spans="3:21" ht="6" customHeight="1">
      <c r="C19" s="677" t="str">
        <f>'Район фунд.'!AJ38</f>
        <v>Вязальная проволока 1,2мм</v>
      </c>
      <c r="D19" s="643"/>
      <c r="E19" s="643"/>
      <c r="F19" s="643"/>
      <c r="G19" s="643"/>
      <c r="H19" s="643"/>
      <c r="I19" s="644"/>
      <c r="J19" s="684">
        <f>'Район фунд.'!AQ38</f>
        <v>0.59623529411765763</v>
      </c>
      <c r="K19" s="686" t="s">
        <v>12</v>
      </c>
      <c r="L19" s="667">
        <v>24</v>
      </c>
      <c r="M19" s="665" t="str">
        <f>IF('из города'!$AG$9=3,"Дол.",IF('из города'!$AG$9=1,"Руб.","Грн."))</f>
        <v>Грн.</v>
      </c>
      <c r="N19" s="663">
        <f>J19*L19</f>
        <v>14.309647058823783</v>
      </c>
      <c r="O19" s="651" t="str">
        <f>IF('из города'!$AG$9=3,"Дол.",IF('из города'!$AG$9=1,"Руб.","Грн."))</f>
        <v>Грн.</v>
      </c>
      <c r="P19" s="638"/>
      <c r="Q19" s="790"/>
      <c r="R19" s="638"/>
      <c r="S19" s="790"/>
      <c r="T19" s="433">
        <f t="shared" si="0"/>
        <v>0.59623529411765763</v>
      </c>
      <c r="U19" s="426">
        <f t="shared" si="1"/>
        <v>14.309647058823783</v>
      </c>
    </row>
    <row r="20" spans="3:21" ht="6" customHeight="1">
      <c r="C20" s="645"/>
      <c r="D20" s="646"/>
      <c r="E20" s="646"/>
      <c r="F20" s="646"/>
      <c r="G20" s="646"/>
      <c r="H20" s="646"/>
      <c r="I20" s="647"/>
      <c r="J20" s="683"/>
      <c r="K20" s="687"/>
      <c r="L20" s="668"/>
      <c r="M20" s="666"/>
      <c r="N20" s="664"/>
      <c r="O20" s="652"/>
      <c r="P20" s="638"/>
      <c r="Q20" s="790"/>
      <c r="R20" s="638"/>
      <c r="S20" s="790"/>
      <c r="T20" s="433">
        <f t="shared" si="0"/>
        <v>0</v>
      </c>
      <c r="U20" s="426">
        <f t="shared" si="1"/>
        <v>0</v>
      </c>
    </row>
    <row r="21" spans="3:21" ht="6" customHeight="1">
      <c r="C21" s="648"/>
      <c r="D21" s="649"/>
      <c r="E21" s="649"/>
      <c r="F21" s="649"/>
      <c r="G21" s="649"/>
      <c r="H21" s="649"/>
      <c r="I21" s="650"/>
      <c r="J21" s="685"/>
      <c r="K21" s="688"/>
      <c r="L21" s="689"/>
      <c r="M21" s="681"/>
      <c r="N21" s="682"/>
      <c r="O21" s="690"/>
      <c r="P21" s="638"/>
      <c r="Q21" s="790"/>
      <c r="R21" s="638"/>
      <c r="S21" s="790"/>
      <c r="T21" s="433">
        <f t="shared" si="0"/>
        <v>0</v>
      </c>
      <c r="U21" s="426">
        <f t="shared" si="1"/>
        <v>0</v>
      </c>
    </row>
    <row r="22" spans="3:21" ht="6" customHeight="1">
      <c r="C22" s="677" t="str">
        <f>'Район фунд.'!AJ28</f>
        <v>Труба ПВХ Ф 250</v>
      </c>
      <c r="D22" s="643"/>
      <c r="E22" s="643"/>
      <c r="F22" s="643"/>
      <c r="G22" s="643"/>
      <c r="H22" s="643"/>
      <c r="I22" s="644"/>
      <c r="J22" s="726">
        <f>ROUNDUP('Район фунд.'!AQ28,0)</f>
        <v>13</v>
      </c>
      <c r="K22" s="686" t="s">
        <v>2659</v>
      </c>
      <c r="L22" s="667">
        <v>350</v>
      </c>
      <c r="M22" s="665" t="str">
        <f>IF('из города'!$AG$9=3,"Дол.",IF('из города'!$AG$9=1,"Руб.","Грн."))</f>
        <v>Грн.</v>
      </c>
      <c r="N22" s="663">
        <f>J22*L22</f>
        <v>4550</v>
      </c>
      <c r="O22" s="651" t="str">
        <f>IF('из города'!$AG$9=3,"Дол.",IF('из города'!$AG$9=1,"Руб.","Грн."))</f>
        <v>Грн.</v>
      </c>
      <c r="P22" s="638"/>
      <c r="Q22" s="790"/>
      <c r="R22" s="638"/>
      <c r="S22" s="790"/>
      <c r="T22" s="433">
        <f t="shared" si="0"/>
        <v>13</v>
      </c>
      <c r="U22" s="426">
        <f t="shared" si="1"/>
        <v>4550</v>
      </c>
    </row>
    <row r="23" spans="3:21" ht="6" customHeight="1">
      <c r="C23" s="645"/>
      <c r="D23" s="646"/>
      <c r="E23" s="646"/>
      <c r="F23" s="646"/>
      <c r="G23" s="646"/>
      <c r="H23" s="646"/>
      <c r="I23" s="647"/>
      <c r="J23" s="728"/>
      <c r="K23" s="687"/>
      <c r="L23" s="668"/>
      <c r="M23" s="666"/>
      <c r="N23" s="664"/>
      <c r="O23" s="652"/>
      <c r="P23" s="638"/>
      <c r="Q23" s="790"/>
      <c r="R23" s="638"/>
      <c r="S23" s="790"/>
      <c r="T23" s="433">
        <f t="shared" si="0"/>
        <v>0</v>
      </c>
      <c r="U23" s="426">
        <f t="shared" si="1"/>
        <v>0</v>
      </c>
    </row>
    <row r="24" spans="3:21" ht="6" customHeight="1" thickBot="1">
      <c r="C24" s="648"/>
      <c r="D24" s="649"/>
      <c r="E24" s="649"/>
      <c r="F24" s="649"/>
      <c r="G24" s="649"/>
      <c r="H24" s="649"/>
      <c r="I24" s="650"/>
      <c r="J24" s="729"/>
      <c r="K24" s="688"/>
      <c r="L24" s="689"/>
      <c r="M24" s="681"/>
      <c r="N24" s="682"/>
      <c r="O24" s="690"/>
      <c r="P24" s="638"/>
      <c r="Q24" s="790"/>
      <c r="R24" s="638"/>
      <c r="S24" s="790"/>
      <c r="T24" s="433">
        <f t="shared" si="0"/>
        <v>0</v>
      </c>
      <c r="U24" s="426">
        <f t="shared" si="1"/>
        <v>0</v>
      </c>
    </row>
    <row r="25" spans="3:21" ht="6" customHeight="1" thickTop="1">
      <c r="C25" s="697" t="s">
        <v>2711</v>
      </c>
      <c r="D25" s="697"/>
      <c r="E25" s="697"/>
      <c r="F25" s="697"/>
      <c r="G25" s="697"/>
      <c r="H25" s="697"/>
      <c r="I25" s="697"/>
      <c r="J25" s="697"/>
      <c r="K25" s="697"/>
      <c r="L25" s="697"/>
      <c r="M25" s="697"/>
      <c r="N25" s="691">
        <f>N7+N10+N13+N16+N19+N22</f>
        <v>7679.8989781834534</v>
      </c>
      <c r="O25" s="678" t="str">
        <f>IF('из города'!$AG$9=3,"Дол.",IF('из города'!$AG$9=1,"Руб.","Грн."))</f>
        <v>Грн.</v>
      </c>
      <c r="P25" s="792"/>
      <c r="Q25" s="792"/>
      <c r="R25" s="792"/>
      <c r="S25" s="792"/>
      <c r="T25" s="433">
        <f t="shared" si="0"/>
        <v>0</v>
      </c>
      <c r="U25" s="426">
        <f t="shared" si="1"/>
        <v>7679.8989781834534</v>
      </c>
    </row>
    <row r="26" spans="3:21" ht="6" customHeight="1">
      <c r="C26" s="698"/>
      <c r="D26" s="698"/>
      <c r="E26" s="698"/>
      <c r="F26" s="698"/>
      <c r="G26" s="698"/>
      <c r="H26" s="698"/>
      <c r="I26" s="698"/>
      <c r="J26" s="698"/>
      <c r="K26" s="698"/>
      <c r="L26" s="698"/>
      <c r="M26" s="698"/>
      <c r="N26" s="692"/>
      <c r="O26" s="679"/>
      <c r="P26" s="792"/>
      <c r="Q26" s="792"/>
      <c r="R26" s="792"/>
      <c r="S26" s="792"/>
      <c r="T26" s="433">
        <f t="shared" si="0"/>
        <v>0</v>
      </c>
      <c r="U26" s="426">
        <f t="shared" si="1"/>
        <v>0</v>
      </c>
    </row>
    <row r="27" spans="3:21" ht="6" customHeight="1">
      <c r="C27" s="699"/>
      <c r="D27" s="699"/>
      <c r="E27" s="699"/>
      <c r="F27" s="699"/>
      <c r="G27" s="699"/>
      <c r="H27" s="699"/>
      <c r="I27" s="699"/>
      <c r="J27" s="699"/>
      <c r="K27" s="699"/>
      <c r="L27" s="699"/>
      <c r="M27" s="699"/>
      <c r="N27" s="693"/>
      <c r="O27" s="680"/>
      <c r="P27" s="792"/>
      <c r="Q27" s="792"/>
      <c r="R27" s="792"/>
      <c r="S27" s="792"/>
      <c r="T27" s="433">
        <f t="shared" si="0"/>
        <v>0</v>
      </c>
      <c r="U27" s="426">
        <f t="shared" si="1"/>
        <v>0</v>
      </c>
    </row>
    <row r="28" spans="3:21" ht="6" customHeight="1">
      <c r="C28" s="677" t="str">
        <f>'Район фунд.'!AJ30</f>
        <v>Шпилька ф 16 х 250</v>
      </c>
      <c r="D28" s="643"/>
      <c r="E28" s="643"/>
      <c r="F28" s="643"/>
      <c r="G28" s="643"/>
      <c r="H28" s="643"/>
      <c r="I28" s="644"/>
      <c r="J28" s="726">
        <f>'Район фунд.'!AQ30</f>
        <v>4.585</v>
      </c>
      <c r="K28" s="686" t="s">
        <v>2155</v>
      </c>
      <c r="L28" s="667">
        <v>40.5</v>
      </c>
      <c r="M28" s="665" t="str">
        <f>IF('из города'!$AG$9=3,"Дол.",IF('из города'!$AG$9=1,"Руб.","Грн."))</f>
        <v>Грн.</v>
      </c>
      <c r="N28" s="663">
        <f>J28*L28</f>
        <v>185.6925</v>
      </c>
      <c r="O28" s="651" t="str">
        <f>IF('из города'!$AG$9=3,"Дол.",IF('из города'!$AG$9=1,"Руб.","Грн."))</f>
        <v>Грн.</v>
      </c>
      <c r="P28" s="638"/>
      <c r="Q28" s="790"/>
      <c r="R28" s="638"/>
      <c r="S28" s="790"/>
      <c r="T28" s="433">
        <f t="shared" si="0"/>
        <v>4.585</v>
      </c>
      <c r="U28" s="426">
        <f t="shared" si="1"/>
        <v>185.6925</v>
      </c>
    </row>
    <row r="29" spans="3:21" ht="6" customHeight="1">
      <c r="C29" s="645"/>
      <c r="D29" s="646"/>
      <c r="E29" s="646"/>
      <c r="F29" s="646"/>
      <c r="G29" s="646"/>
      <c r="H29" s="646"/>
      <c r="I29" s="647"/>
      <c r="J29" s="728"/>
      <c r="K29" s="687"/>
      <c r="L29" s="668"/>
      <c r="M29" s="666"/>
      <c r="N29" s="664"/>
      <c r="O29" s="652"/>
      <c r="P29" s="638"/>
      <c r="Q29" s="790"/>
      <c r="R29" s="638"/>
      <c r="S29" s="790"/>
      <c r="T29" s="433">
        <f t="shared" si="0"/>
        <v>0</v>
      </c>
      <c r="U29" s="426">
        <f t="shared" si="1"/>
        <v>0</v>
      </c>
    </row>
    <row r="30" spans="3:21" ht="6" customHeight="1">
      <c r="C30" s="648"/>
      <c r="D30" s="649"/>
      <c r="E30" s="649"/>
      <c r="F30" s="649"/>
      <c r="G30" s="649"/>
      <c r="H30" s="649"/>
      <c r="I30" s="650"/>
      <c r="J30" s="729"/>
      <c r="K30" s="688"/>
      <c r="L30" s="689"/>
      <c r="M30" s="681"/>
      <c r="N30" s="682"/>
      <c r="O30" s="690"/>
      <c r="P30" s="638"/>
      <c r="Q30" s="790"/>
      <c r="R30" s="638"/>
      <c r="S30" s="790"/>
      <c r="T30" s="433">
        <f t="shared" si="0"/>
        <v>0</v>
      </c>
      <c r="U30" s="426">
        <f t="shared" si="1"/>
        <v>0</v>
      </c>
    </row>
    <row r="31" spans="3:21" s="381" customFormat="1" ht="6" customHeight="1">
      <c r="C31" s="642" t="str">
        <f>'Район фунд.'!AJ32</f>
        <v>Площадка оголовка (полоса 100х6х300 мм)</v>
      </c>
      <c r="D31" s="718"/>
      <c r="E31" s="718"/>
      <c r="F31" s="718"/>
      <c r="G31" s="718"/>
      <c r="H31" s="718"/>
      <c r="I31" s="719"/>
      <c r="J31" s="684">
        <f>'Район фунд.'!AQ32</f>
        <v>21</v>
      </c>
      <c r="K31" s="686" t="s">
        <v>2155</v>
      </c>
      <c r="L31" s="667">
        <v>27</v>
      </c>
      <c r="M31" s="665" t="str">
        <f>IF('из города'!$AG$9=3,"Дол.",IF('из города'!$AG$9=1,"Руб.","Грн."))</f>
        <v>Грн.</v>
      </c>
      <c r="N31" s="663">
        <f>J31*L31</f>
        <v>567</v>
      </c>
      <c r="O31" s="651" t="str">
        <f>IF('из города'!$AG$9=3,"Дол.",IF('из города'!$AG$9=1,"Руб.","Грн."))</f>
        <v>Грн.</v>
      </c>
      <c r="P31" s="638"/>
      <c r="Q31" s="790"/>
      <c r="R31" s="638"/>
      <c r="S31" s="790"/>
      <c r="T31" s="433">
        <f t="shared" si="0"/>
        <v>21</v>
      </c>
      <c r="U31" s="426">
        <f t="shared" si="1"/>
        <v>567</v>
      </c>
    </row>
    <row r="32" spans="3:21" s="381" customFormat="1" ht="6" customHeight="1">
      <c r="C32" s="720"/>
      <c r="D32" s="721"/>
      <c r="E32" s="721"/>
      <c r="F32" s="721"/>
      <c r="G32" s="721"/>
      <c r="H32" s="721"/>
      <c r="I32" s="722"/>
      <c r="J32" s="664"/>
      <c r="K32" s="687"/>
      <c r="L32" s="668"/>
      <c r="M32" s="666"/>
      <c r="N32" s="664"/>
      <c r="O32" s="652"/>
      <c r="P32" s="638"/>
      <c r="Q32" s="790"/>
      <c r="R32" s="638"/>
      <c r="S32" s="790"/>
      <c r="T32" s="433">
        <f t="shared" si="0"/>
        <v>0</v>
      </c>
      <c r="U32" s="426">
        <f t="shared" si="1"/>
        <v>0</v>
      </c>
    </row>
    <row r="33" spans="3:21" s="381" customFormat="1" ht="6" customHeight="1">
      <c r="C33" s="723"/>
      <c r="D33" s="724"/>
      <c r="E33" s="724"/>
      <c r="F33" s="724"/>
      <c r="G33" s="724"/>
      <c r="H33" s="724"/>
      <c r="I33" s="725"/>
      <c r="J33" s="682"/>
      <c r="K33" s="688"/>
      <c r="L33" s="689"/>
      <c r="M33" s="681"/>
      <c r="N33" s="682"/>
      <c r="O33" s="690"/>
      <c r="P33" s="638"/>
      <c r="Q33" s="790"/>
      <c r="R33" s="638"/>
      <c r="S33" s="790"/>
      <c r="T33" s="433">
        <f t="shared" si="0"/>
        <v>0</v>
      </c>
      <c r="U33" s="426">
        <f t="shared" si="1"/>
        <v>0</v>
      </c>
    </row>
    <row r="34" spans="3:21" ht="6" customHeight="1">
      <c r="C34" s="645" t="str">
        <f>'Район фунд.'!AJ34</f>
        <v>Гайка М16 оцинкованная Класс прочности 6.  DIN 934</v>
      </c>
      <c r="D34" s="646"/>
      <c r="E34" s="646"/>
      <c r="F34" s="646"/>
      <c r="G34" s="646"/>
      <c r="H34" s="646"/>
      <c r="I34" s="647"/>
      <c r="J34" s="726">
        <f>'Район фунд.'!AQ34</f>
        <v>0.46479999999999999</v>
      </c>
      <c r="K34" s="686" t="s">
        <v>12</v>
      </c>
      <c r="L34" s="667">
        <v>60</v>
      </c>
      <c r="M34" s="665" t="str">
        <f>IF('из города'!$AG$9=3,"Дол.",IF('из города'!$AG$9=1,"Руб.","Грн."))</f>
        <v>Грн.</v>
      </c>
      <c r="N34" s="663">
        <f>J34*L34</f>
        <v>27.887999999999998</v>
      </c>
      <c r="O34" s="651" t="str">
        <f>IF('из города'!$AG$9=3,"Дол.",IF('из города'!$AG$9=1,"Руб.","Грн."))</f>
        <v>Грн.</v>
      </c>
      <c r="P34" s="638"/>
      <c r="Q34" s="790"/>
      <c r="R34" s="638"/>
      <c r="S34" s="790"/>
      <c r="T34" s="433">
        <f t="shared" si="0"/>
        <v>0.46479999999999999</v>
      </c>
      <c r="U34" s="426">
        <f t="shared" si="1"/>
        <v>27.887999999999998</v>
      </c>
    </row>
    <row r="35" spans="3:21" ht="6" customHeight="1">
      <c r="C35" s="645"/>
      <c r="D35" s="646"/>
      <c r="E35" s="646"/>
      <c r="F35" s="646"/>
      <c r="G35" s="646"/>
      <c r="H35" s="646"/>
      <c r="I35" s="647"/>
      <c r="J35" s="728"/>
      <c r="K35" s="687"/>
      <c r="L35" s="668"/>
      <c r="M35" s="666"/>
      <c r="N35" s="664"/>
      <c r="O35" s="652"/>
      <c r="P35" s="638"/>
      <c r="Q35" s="790"/>
      <c r="R35" s="638"/>
      <c r="S35" s="790"/>
      <c r="T35" s="433">
        <f t="shared" si="0"/>
        <v>0</v>
      </c>
      <c r="U35" s="426">
        <f t="shared" si="1"/>
        <v>0</v>
      </c>
    </row>
    <row r="36" spans="3:21" ht="6" customHeight="1">
      <c r="C36" s="648"/>
      <c r="D36" s="649"/>
      <c r="E36" s="649"/>
      <c r="F36" s="649"/>
      <c r="G36" s="649"/>
      <c r="H36" s="649"/>
      <c r="I36" s="650"/>
      <c r="J36" s="729"/>
      <c r="K36" s="688"/>
      <c r="L36" s="689"/>
      <c r="M36" s="681"/>
      <c r="N36" s="682"/>
      <c r="O36" s="690"/>
      <c r="P36" s="638"/>
      <c r="Q36" s="790"/>
      <c r="R36" s="638"/>
      <c r="S36" s="790"/>
      <c r="T36" s="433">
        <f t="shared" si="0"/>
        <v>0</v>
      </c>
      <c r="U36" s="426">
        <f t="shared" si="1"/>
        <v>0</v>
      </c>
    </row>
    <row r="37" spans="3:21" s="381" customFormat="1" ht="6.5" customHeight="1">
      <c r="C37" s="677" t="str">
        <f>'Район фунд.'!AJ36</f>
        <v>Химический анкер (300мл)</v>
      </c>
      <c r="D37" s="643"/>
      <c r="E37" s="643"/>
      <c r="F37" s="643"/>
      <c r="G37" s="643"/>
      <c r="H37" s="643"/>
      <c r="I37" s="644"/>
      <c r="J37" s="684">
        <f>ROUNDUP('Район фунд.'!AU36,0)</f>
        <v>2</v>
      </c>
      <c r="K37" s="686" t="s">
        <v>2713</v>
      </c>
      <c r="L37" s="667">
        <v>150</v>
      </c>
      <c r="M37" s="665" t="str">
        <f>IF('из города'!$AG$9=3,"Дол.",IF('из города'!$AG$9=1,"Руб.","Грн."))</f>
        <v>Грн.</v>
      </c>
      <c r="N37" s="663">
        <f>J37*L37</f>
        <v>300</v>
      </c>
      <c r="O37" s="651" t="str">
        <f>IF('из города'!$AG$9=3,"Дол.",IF('из города'!$AG$9=1,"Руб.","Грн."))</f>
        <v>Грн.</v>
      </c>
      <c r="P37" s="638"/>
      <c r="Q37" s="790"/>
      <c r="R37" s="638"/>
      <c r="S37" s="790"/>
      <c r="T37" s="433">
        <f t="shared" si="0"/>
        <v>2</v>
      </c>
      <c r="U37" s="426">
        <f t="shared" si="1"/>
        <v>300</v>
      </c>
    </row>
    <row r="38" spans="3:21" s="381" customFormat="1" ht="6.5" customHeight="1">
      <c r="C38" s="645"/>
      <c r="D38" s="646"/>
      <c r="E38" s="646"/>
      <c r="F38" s="646"/>
      <c r="G38" s="646"/>
      <c r="H38" s="646"/>
      <c r="I38" s="647"/>
      <c r="J38" s="683"/>
      <c r="K38" s="687"/>
      <c r="L38" s="668"/>
      <c r="M38" s="666"/>
      <c r="N38" s="664"/>
      <c r="O38" s="652"/>
      <c r="P38" s="638"/>
      <c r="Q38" s="790"/>
      <c r="R38" s="638"/>
      <c r="S38" s="790"/>
      <c r="T38" s="433">
        <f t="shared" si="0"/>
        <v>0</v>
      </c>
      <c r="U38" s="426">
        <f t="shared" si="1"/>
        <v>0</v>
      </c>
    </row>
    <row r="39" spans="3:21" s="381" customFormat="1" ht="6.5" customHeight="1">
      <c r="C39" s="648"/>
      <c r="D39" s="649"/>
      <c r="E39" s="649"/>
      <c r="F39" s="649"/>
      <c r="G39" s="649"/>
      <c r="H39" s="649"/>
      <c r="I39" s="650"/>
      <c r="J39" s="685"/>
      <c r="K39" s="688"/>
      <c r="L39" s="689"/>
      <c r="M39" s="681"/>
      <c r="N39" s="682"/>
      <c r="O39" s="690"/>
      <c r="P39" s="638"/>
      <c r="Q39" s="790"/>
      <c r="R39" s="638"/>
      <c r="S39" s="790"/>
      <c r="T39" s="433">
        <f t="shared" ref="T39:T70" si="2">J39</f>
        <v>0</v>
      </c>
      <c r="U39" s="426">
        <f t="shared" ref="U39:U70" si="3">N39</f>
        <v>0</v>
      </c>
    </row>
    <row r="40" spans="3:21" s="381" customFormat="1" ht="6" customHeight="1">
      <c r="C40" s="677" t="str">
        <f>'Район фунд.'!AJ26</f>
        <v>Глухарь(шуруп 12х100мм оцинкованный)</v>
      </c>
      <c r="D40" s="643"/>
      <c r="E40" s="643"/>
      <c r="F40" s="643"/>
      <c r="G40" s="643"/>
      <c r="H40" s="643"/>
      <c r="I40" s="644"/>
      <c r="J40" s="639">
        <f>'Район фунд.'!AQ26</f>
        <v>6.4763999999999999</v>
      </c>
      <c r="K40" s="686" t="s">
        <v>12</v>
      </c>
      <c r="L40" s="667">
        <v>56</v>
      </c>
      <c r="M40" s="665" t="str">
        <f>IF('из города'!$AG$9=3,"Дол.",IF('из города'!$AG$9=1,"Руб.","Грн."))</f>
        <v>Грн.</v>
      </c>
      <c r="N40" s="663">
        <f>J40*L40</f>
        <v>362.67840000000001</v>
      </c>
      <c r="O40" s="651" t="str">
        <f>IF('из города'!$AG$9=3,"Дол.",IF('из города'!$AG$9=1,"Руб.","Грн."))</f>
        <v>Грн.</v>
      </c>
      <c r="P40" s="638"/>
      <c r="Q40" s="790"/>
      <c r="R40" s="638"/>
      <c r="S40" s="790"/>
      <c r="T40" s="433">
        <f t="shared" si="2"/>
        <v>6.4763999999999999</v>
      </c>
      <c r="U40" s="426">
        <f t="shared" si="3"/>
        <v>362.67840000000001</v>
      </c>
    </row>
    <row r="41" spans="3:21" s="381" customFormat="1" ht="6" customHeight="1">
      <c r="C41" s="645"/>
      <c r="D41" s="646"/>
      <c r="E41" s="646"/>
      <c r="F41" s="646"/>
      <c r="G41" s="646"/>
      <c r="H41" s="646"/>
      <c r="I41" s="647"/>
      <c r="J41" s="640"/>
      <c r="K41" s="687"/>
      <c r="L41" s="668"/>
      <c r="M41" s="666"/>
      <c r="N41" s="664"/>
      <c r="O41" s="652"/>
      <c r="P41" s="638"/>
      <c r="Q41" s="790"/>
      <c r="R41" s="638"/>
      <c r="S41" s="790"/>
      <c r="T41" s="433">
        <f t="shared" si="2"/>
        <v>0</v>
      </c>
      <c r="U41" s="426">
        <f t="shared" si="3"/>
        <v>0</v>
      </c>
    </row>
    <row r="42" spans="3:21" s="381" customFormat="1" ht="6" customHeight="1">
      <c r="C42" s="648"/>
      <c r="D42" s="649"/>
      <c r="E42" s="649"/>
      <c r="F42" s="649"/>
      <c r="G42" s="649"/>
      <c r="H42" s="649"/>
      <c r="I42" s="650"/>
      <c r="J42" s="641"/>
      <c r="K42" s="688"/>
      <c r="L42" s="689"/>
      <c r="M42" s="681"/>
      <c r="N42" s="682"/>
      <c r="O42" s="690"/>
      <c r="P42" s="638"/>
      <c r="Q42" s="790"/>
      <c r="R42" s="638"/>
      <c r="S42" s="790"/>
      <c r="T42" s="433">
        <f t="shared" si="2"/>
        <v>0</v>
      </c>
      <c r="U42" s="426">
        <f t="shared" si="3"/>
        <v>0</v>
      </c>
    </row>
    <row r="43" spans="3:21" ht="6" customHeight="1">
      <c r="C43" s="677" t="str">
        <f>'Район фунд.'!AJ40</f>
        <v>Мастика Мастика битумно-полимерная холодная для торца сваи</v>
      </c>
      <c r="D43" s="643"/>
      <c r="E43" s="643"/>
      <c r="F43" s="643"/>
      <c r="G43" s="643"/>
      <c r="H43" s="643"/>
      <c r="I43" s="644"/>
      <c r="J43" s="726">
        <f>'Район фунд.'!AQ40</f>
        <v>0.71563025882352982</v>
      </c>
      <c r="K43" s="686" t="s">
        <v>12</v>
      </c>
      <c r="L43" s="667">
        <v>50</v>
      </c>
      <c r="M43" s="665" t="str">
        <f>IF('из города'!$AG$9=3,"Дол.",IF('из города'!$AG$9=1,"Руб.","Грн."))</f>
        <v>Грн.</v>
      </c>
      <c r="N43" s="663">
        <f>J43*L43</f>
        <v>35.781512941176494</v>
      </c>
      <c r="O43" s="651" t="str">
        <f>IF('из города'!$AG$9=3,"Дол.",IF('из города'!$AG$9=1,"Руб.","Грн."))</f>
        <v>Грн.</v>
      </c>
      <c r="P43" s="638"/>
      <c r="Q43" s="790"/>
      <c r="R43" s="638"/>
      <c r="S43" s="790"/>
      <c r="T43" s="433">
        <f t="shared" si="2"/>
        <v>0.71563025882352982</v>
      </c>
      <c r="U43" s="426">
        <f t="shared" si="3"/>
        <v>35.781512941176494</v>
      </c>
    </row>
    <row r="44" spans="3:21" ht="6" customHeight="1">
      <c r="C44" s="645"/>
      <c r="D44" s="646"/>
      <c r="E44" s="646"/>
      <c r="F44" s="646"/>
      <c r="G44" s="646"/>
      <c r="H44" s="646"/>
      <c r="I44" s="647"/>
      <c r="J44" s="728"/>
      <c r="K44" s="687"/>
      <c r="L44" s="668"/>
      <c r="M44" s="666"/>
      <c r="N44" s="664"/>
      <c r="O44" s="652"/>
      <c r="P44" s="638"/>
      <c r="Q44" s="790"/>
      <c r="R44" s="638"/>
      <c r="S44" s="790"/>
      <c r="T44" s="433">
        <f t="shared" si="2"/>
        <v>0</v>
      </c>
      <c r="U44" s="426">
        <f t="shared" si="3"/>
        <v>0</v>
      </c>
    </row>
    <row r="45" spans="3:21" ht="6" customHeight="1">
      <c r="C45" s="648"/>
      <c r="D45" s="649"/>
      <c r="E45" s="649"/>
      <c r="F45" s="649"/>
      <c r="G45" s="649"/>
      <c r="H45" s="649"/>
      <c r="I45" s="650"/>
      <c r="J45" s="729"/>
      <c r="K45" s="688"/>
      <c r="L45" s="689"/>
      <c r="M45" s="681"/>
      <c r="N45" s="682"/>
      <c r="O45" s="690"/>
      <c r="P45" s="638"/>
      <c r="Q45" s="790"/>
      <c r="R45" s="638"/>
      <c r="S45" s="790"/>
      <c r="T45" s="433">
        <f t="shared" si="2"/>
        <v>0</v>
      </c>
      <c r="U45" s="426">
        <f t="shared" si="3"/>
        <v>0</v>
      </c>
    </row>
    <row r="46" spans="3:21" ht="6" customHeight="1">
      <c r="C46" s="677" t="s">
        <v>2637</v>
      </c>
      <c r="D46" s="643"/>
      <c r="E46" s="643"/>
      <c r="F46" s="643"/>
      <c r="G46" s="643"/>
      <c r="H46" s="643"/>
      <c r="I46" s="644"/>
      <c r="J46" s="639">
        <v>3.84</v>
      </c>
      <c r="K46" s="686" t="s">
        <v>2108</v>
      </c>
      <c r="L46" s="667">
        <v>3800</v>
      </c>
      <c r="M46" s="665" t="str">
        <f>IF('из города'!$AG$9=3,"Дол.",IF('из города'!$AG$9=1,"Руб.","Грн."))</f>
        <v>Грн.</v>
      </c>
      <c r="N46" s="663">
        <f>J46*L46</f>
        <v>14592</v>
      </c>
      <c r="O46" s="651" t="str">
        <f>IF('из города'!$AG$9=3,"Дол.",IF('из города'!$AG$9=1,"Руб.","Грн."))</f>
        <v>Грн.</v>
      </c>
      <c r="P46" s="638"/>
      <c r="Q46" s="790"/>
      <c r="R46" s="638"/>
      <c r="S46" s="790"/>
      <c r="T46" s="433">
        <f t="shared" si="2"/>
        <v>3.84</v>
      </c>
      <c r="U46" s="426">
        <f t="shared" si="3"/>
        <v>14592</v>
      </c>
    </row>
    <row r="47" spans="3:21" ht="6" customHeight="1">
      <c r="C47" s="645"/>
      <c r="D47" s="646"/>
      <c r="E47" s="646"/>
      <c r="F47" s="646"/>
      <c r="G47" s="646"/>
      <c r="H47" s="646"/>
      <c r="I47" s="647"/>
      <c r="J47" s="640"/>
      <c r="K47" s="687"/>
      <c r="L47" s="668"/>
      <c r="M47" s="666"/>
      <c r="N47" s="664"/>
      <c r="O47" s="652"/>
      <c r="P47" s="638"/>
      <c r="Q47" s="790"/>
      <c r="R47" s="638"/>
      <c r="S47" s="790"/>
      <c r="T47" s="433">
        <f t="shared" si="2"/>
        <v>0</v>
      </c>
      <c r="U47" s="426">
        <f t="shared" si="3"/>
        <v>0</v>
      </c>
    </row>
    <row r="48" spans="3:21" ht="6" customHeight="1">
      <c r="C48" s="648"/>
      <c r="D48" s="649"/>
      <c r="E48" s="649"/>
      <c r="F48" s="649"/>
      <c r="G48" s="649"/>
      <c r="H48" s="649"/>
      <c r="I48" s="650"/>
      <c r="J48" s="641"/>
      <c r="K48" s="688"/>
      <c r="L48" s="689"/>
      <c r="M48" s="681"/>
      <c r="N48" s="682"/>
      <c r="O48" s="690"/>
      <c r="P48" s="638"/>
      <c r="Q48" s="790"/>
      <c r="R48" s="638"/>
      <c r="S48" s="790"/>
      <c r="T48" s="433">
        <f t="shared" si="2"/>
        <v>0</v>
      </c>
      <c r="U48" s="426">
        <f t="shared" si="3"/>
        <v>0</v>
      </c>
    </row>
    <row r="49" spans="3:21" ht="6" customHeight="1">
      <c r="C49" s="642" t="s">
        <v>2638</v>
      </c>
      <c r="D49" s="643"/>
      <c r="E49" s="643"/>
      <c r="F49" s="643"/>
      <c r="G49" s="643"/>
      <c r="H49" s="643"/>
      <c r="I49" s="644"/>
      <c r="J49" s="684">
        <v>8</v>
      </c>
      <c r="K49" s="686" t="s">
        <v>2639</v>
      </c>
      <c r="L49" s="667">
        <v>20</v>
      </c>
      <c r="M49" s="665" t="str">
        <f>IF('из города'!$AG$9=3,"Дол.",IF('из города'!$AG$9=1,"Руб.","Грн."))</f>
        <v>Грн.</v>
      </c>
      <c r="N49" s="663">
        <f>J49*L49</f>
        <v>160</v>
      </c>
      <c r="O49" s="651" t="str">
        <f>IF('из города'!$AG$9=3,"Дол.",IF('из города'!$AG$9=1,"Руб.","Грн."))</f>
        <v>Грн.</v>
      </c>
      <c r="P49" s="638"/>
      <c r="Q49" s="790"/>
      <c r="R49" s="638"/>
      <c r="S49" s="790"/>
      <c r="T49" s="433">
        <f t="shared" si="2"/>
        <v>8</v>
      </c>
      <c r="U49" s="426">
        <f t="shared" si="3"/>
        <v>160</v>
      </c>
    </row>
    <row r="50" spans="3:21" ht="6" customHeight="1">
      <c r="C50" s="645"/>
      <c r="D50" s="646"/>
      <c r="E50" s="646"/>
      <c r="F50" s="646"/>
      <c r="G50" s="646"/>
      <c r="H50" s="646"/>
      <c r="I50" s="647"/>
      <c r="J50" s="683"/>
      <c r="K50" s="687"/>
      <c r="L50" s="668"/>
      <c r="M50" s="666"/>
      <c r="N50" s="664"/>
      <c r="O50" s="652"/>
      <c r="P50" s="638"/>
      <c r="Q50" s="790"/>
      <c r="R50" s="638"/>
      <c r="S50" s="790"/>
      <c r="T50" s="433">
        <f t="shared" si="2"/>
        <v>0</v>
      </c>
      <c r="U50" s="426">
        <f t="shared" si="3"/>
        <v>0</v>
      </c>
    </row>
    <row r="51" spans="3:21" ht="6" customHeight="1">
      <c r="C51" s="648"/>
      <c r="D51" s="649"/>
      <c r="E51" s="649"/>
      <c r="F51" s="649"/>
      <c r="G51" s="649"/>
      <c r="H51" s="649"/>
      <c r="I51" s="650"/>
      <c r="J51" s="685"/>
      <c r="K51" s="688"/>
      <c r="L51" s="689"/>
      <c r="M51" s="681"/>
      <c r="N51" s="682"/>
      <c r="O51" s="690"/>
      <c r="P51" s="638"/>
      <c r="Q51" s="790"/>
      <c r="R51" s="638"/>
      <c r="S51" s="790"/>
      <c r="T51" s="433">
        <f t="shared" si="2"/>
        <v>0</v>
      </c>
      <c r="U51" s="426">
        <f t="shared" si="3"/>
        <v>0</v>
      </c>
    </row>
    <row r="52" spans="3:21" ht="6" customHeight="1">
      <c r="C52" s="642" t="s">
        <v>2640</v>
      </c>
      <c r="D52" s="643"/>
      <c r="E52" s="643"/>
      <c r="F52" s="643"/>
      <c r="G52" s="643"/>
      <c r="H52" s="643"/>
      <c r="I52" s="644"/>
      <c r="J52" s="684">
        <v>56</v>
      </c>
      <c r="K52" s="686" t="s">
        <v>2641</v>
      </c>
      <c r="L52" s="667">
        <v>18</v>
      </c>
      <c r="M52" s="665" t="str">
        <f>IF('из города'!$AG$9=3,"Дол.",IF('из города'!$AG$9=1,"Руб.","Грн."))</f>
        <v>Грн.</v>
      </c>
      <c r="N52" s="663">
        <f>J52*L52</f>
        <v>1008</v>
      </c>
      <c r="O52" s="651" t="str">
        <f>IF('из города'!$AG$9=3,"Дол.",IF('из города'!$AG$9=1,"Руб.","Грн."))</f>
        <v>Грн.</v>
      </c>
      <c r="P52" s="638"/>
      <c r="Q52" s="790"/>
      <c r="R52" s="638"/>
      <c r="S52" s="790"/>
      <c r="T52" s="433">
        <f t="shared" si="2"/>
        <v>56</v>
      </c>
      <c r="U52" s="426">
        <f t="shared" si="3"/>
        <v>1008</v>
      </c>
    </row>
    <row r="53" spans="3:21" ht="6" customHeight="1">
      <c r="C53" s="645"/>
      <c r="D53" s="646"/>
      <c r="E53" s="646"/>
      <c r="F53" s="646"/>
      <c r="G53" s="646"/>
      <c r="H53" s="646"/>
      <c r="I53" s="647"/>
      <c r="J53" s="683"/>
      <c r="K53" s="687"/>
      <c r="L53" s="668"/>
      <c r="M53" s="666"/>
      <c r="N53" s="664"/>
      <c r="O53" s="652"/>
      <c r="P53" s="638"/>
      <c r="Q53" s="790"/>
      <c r="R53" s="638"/>
      <c r="S53" s="790"/>
      <c r="T53" s="433">
        <f t="shared" si="2"/>
        <v>0</v>
      </c>
      <c r="U53" s="426">
        <f t="shared" si="3"/>
        <v>0</v>
      </c>
    </row>
    <row r="54" spans="3:21" ht="6" customHeight="1">
      <c r="C54" s="648"/>
      <c r="D54" s="649"/>
      <c r="E54" s="649"/>
      <c r="F54" s="649"/>
      <c r="G54" s="649"/>
      <c r="H54" s="649"/>
      <c r="I54" s="650"/>
      <c r="J54" s="685"/>
      <c r="K54" s="688"/>
      <c r="L54" s="689"/>
      <c r="M54" s="681"/>
      <c r="N54" s="682"/>
      <c r="O54" s="690"/>
      <c r="P54" s="638"/>
      <c r="Q54" s="790"/>
      <c r="R54" s="638"/>
      <c r="S54" s="790"/>
      <c r="T54" s="433">
        <f t="shared" si="2"/>
        <v>0</v>
      </c>
      <c r="U54" s="426">
        <f t="shared" si="3"/>
        <v>0</v>
      </c>
    </row>
    <row r="55" spans="3:21" ht="6" customHeight="1">
      <c r="C55" s="677" t="s">
        <v>2642</v>
      </c>
      <c r="D55" s="643"/>
      <c r="E55" s="643"/>
      <c r="F55" s="643"/>
      <c r="G55" s="643"/>
      <c r="H55" s="643"/>
      <c r="I55" s="644"/>
      <c r="J55" s="639">
        <v>0.96</v>
      </c>
      <c r="K55" s="686" t="s">
        <v>12</v>
      </c>
      <c r="L55" s="667">
        <v>160</v>
      </c>
      <c r="M55" s="665" t="str">
        <f>IF('из города'!$AG$9=3,"Дол.",IF('из города'!$AG$9=1,"Руб.","Грн."))</f>
        <v>Грн.</v>
      </c>
      <c r="N55" s="663">
        <f>J55*L55</f>
        <v>153.6</v>
      </c>
      <c r="O55" s="651" t="str">
        <f>IF('из города'!$AG$9=3,"Дол.",IF('из города'!$AG$9=1,"Руб.","Грн."))</f>
        <v>Грн.</v>
      </c>
      <c r="P55" s="638"/>
      <c r="Q55" s="790"/>
      <c r="R55" s="638"/>
      <c r="S55" s="790"/>
      <c r="T55" s="433">
        <f t="shared" si="2"/>
        <v>0.96</v>
      </c>
      <c r="U55" s="426">
        <f t="shared" si="3"/>
        <v>153.6</v>
      </c>
    </row>
    <row r="56" spans="3:21" ht="6" customHeight="1">
      <c r="C56" s="645"/>
      <c r="D56" s="646"/>
      <c r="E56" s="646"/>
      <c r="F56" s="646"/>
      <c r="G56" s="646"/>
      <c r="H56" s="646"/>
      <c r="I56" s="647"/>
      <c r="J56" s="640"/>
      <c r="K56" s="687"/>
      <c r="L56" s="668"/>
      <c r="M56" s="666"/>
      <c r="N56" s="664"/>
      <c r="O56" s="652"/>
      <c r="P56" s="638"/>
      <c r="Q56" s="790"/>
      <c r="R56" s="638"/>
      <c r="S56" s="790"/>
      <c r="T56" s="433">
        <f t="shared" si="2"/>
        <v>0</v>
      </c>
      <c r="U56" s="426">
        <f t="shared" si="3"/>
        <v>0</v>
      </c>
    </row>
    <row r="57" spans="3:21" ht="6" customHeight="1">
      <c r="C57" s="648"/>
      <c r="D57" s="649"/>
      <c r="E57" s="649"/>
      <c r="F57" s="649"/>
      <c r="G57" s="649"/>
      <c r="H57" s="649"/>
      <c r="I57" s="650"/>
      <c r="J57" s="641"/>
      <c r="K57" s="688"/>
      <c r="L57" s="689"/>
      <c r="M57" s="681"/>
      <c r="N57" s="682"/>
      <c r="O57" s="690"/>
      <c r="P57" s="638"/>
      <c r="Q57" s="790"/>
      <c r="R57" s="638"/>
      <c r="S57" s="790"/>
      <c r="T57" s="433">
        <f t="shared" si="2"/>
        <v>0</v>
      </c>
      <c r="U57" s="426">
        <f t="shared" si="3"/>
        <v>0</v>
      </c>
    </row>
    <row r="58" spans="3:21" ht="6" customHeight="1">
      <c r="C58" s="677" t="s">
        <v>2644</v>
      </c>
      <c r="D58" s="643"/>
      <c r="E58" s="643"/>
      <c r="F58" s="643"/>
      <c r="G58" s="643"/>
      <c r="H58" s="643"/>
      <c r="I58" s="644"/>
      <c r="J58" s="639">
        <f>IF(B2="Без веранды (малого купола)",2.1,2.9)</f>
        <v>2.9</v>
      </c>
      <c r="K58" s="686" t="s">
        <v>12</v>
      </c>
      <c r="L58" s="667">
        <v>60</v>
      </c>
      <c r="M58" s="665" t="str">
        <f>IF('из города'!$AG$9=3,"Дол.",IF('из города'!$AG$9=1,"Руб.","Грн."))</f>
        <v>Грн.</v>
      </c>
      <c r="N58" s="663">
        <f>J58*L58</f>
        <v>174</v>
      </c>
      <c r="O58" s="651" t="str">
        <f>IF('из города'!$AG$9=3,"Дол.",IF('из города'!$AG$9=1,"Руб.","Грн."))</f>
        <v>Грн.</v>
      </c>
      <c r="P58" s="638"/>
      <c r="Q58" s="790"/>
      <c r="R58" s="638"/>
      <c r="S58" s="790"/>
      <c r="T58" s="433">
        <f t="shared" si="2"/>
        <v>2.9</v>
      </c>
      <c r="U58" s="426">
        <f t="shared" si="3"/>
        <v>174</v>
      </c>
    </row>
    <row r="59" spans="3:21" ht="6" customHeight="1">
      <c r="C59" s="645"/>
      <c r="D59" s="646"/>
      <c r="E59" s="646"/>
      <c r="F59" s="646"/>
      <c r="G59" s="646"/>
      <c r="H59" s="646"/>
      <c r="I59" s="647"/>
      <c r="J59" s="640"/>
      <c r="K59" s="687"/>
      <c r="L59" s="668"/>
      <c r="M59" s="666"/>
      <c r="N59" s="664"/>
      <c r="O59" s="652"/>
      <c r="P59" s="638"/>
      <c r="Q59" s="790"/>
      <c r="R59" s="638"/>
      <c r="S59" s="790"/>
      <c r="T59" s="433">
        <f t="shared" si="2"/>
        <v>0</v>
      </c>
      <c r="U59" s="426">
        <f t="shared" si="3"/>
        <v>0</v>
      </c>
    </row>
    <row r="60" spans="3:21" ht="6" customHeight="1">
      <c r="C60" s="648"/>
      <c r="D60" s="649"/>
      <c r="E60" s="649"/>
      <c r="F60" s="649"/>
      <c r="G60" s="649"/>
      <c r="H60" s="649"/>
      <c r="I60" s="650"/>
      <c r="J60" s="641"/>
      <c r="K60" s="688"/>
      <c r="L60" s="689"/>
      <c r="M60" s="681"/>
      <c r="N60" s="682"/>
      <c r="O60" s="690"/>
      <c r="P60" s="638"/>
      <c r="Q60" s="790"/>
      <c r="R60" s="638"/>
      <c r="S60" s="790"/>
      <c r="T60" s="433">
        <f t="shared" si="2"/>
        <v>0</v>
      </c>
      <c r="U60" s="426">
        <f t="shared" si="3"/>
        <v>0</v>
      </c>
    </row>
    <row r="61" spans="3:21" ht="6" customHeight="1">
      <c r="C61" s="677" t="s">
        <v>2643</v>
      </c>
      <c r="D61" s="643"/>
      <c r="E61" s="643"/>
      <c r="F61" s="643"/>
      <c r="G61" s="643"/>
      <c r="H61" s="643"/>
      <c r="I61" s="644"/>
      <c r="J61" s="639">
        <f>IF(B2="Без веранды (малого купола)",0.5,0.35)</f>
        <v>0.35</v>
      </c>
      <c r="K61" s="686" t="s">
        <v>12</v>
      </c>
      <c r="L61" s="667">
        <v>60</v>
      </c>
      <c r="M61" s="665" t="str">
        <f>IF('из города'!$AG$9=3,"Дол.",IF('из города'!$AG$9=1,"Руб.","Грн."))</f>
        <v>Грн.</v>
      </c>
      <c r="N61" s="663">
        <f>J61*L61</f>
        <v>21</v>
      </c>
      <c r="O61" s="651" t="str">
        <f>IF('из города'!$AG$9=3,"Дол.",IF('из города'!$AG$9=1,"Руб.","Грн."))</f>
        <v>Грн.</v>
      </c>
      <c r="P61" s="638"/>
      <c r="Q61" s="790"/>
      <c r="R61" s="638"/>
      <c r="S61" s="790"/>
      <c r="T61" s="433">
        <f t="shared" si="2"/>
        <v>0.35</v>
      </c>
      <c r="U61" s="426">
        <f t="shared" si="3"/>
        <v>21</v>
      </c>
    </row>
    <row r="62" spans="3:21" ht="6" customHeight="1">
      <c r="C62" s="645"/>
      <c r="D62" s="646"/>
      <c r="E62" s="646"/>
      <c r="F62" s="646"/>
      <c r="G62" s="646"/>
      <c r="H62" s="646"/>
      <c r="I62" s="647"/>
      <c r="J62" s="640"/>
      <c r="K62" s="687"/>
      <c r="L62" s="668"/>
      <c r="M62" s="666"/>
      <c r="N62" s="664"/>
      <c r="O62" s="652"/>
      <c r="P62" s="638"/>
      <c r="Q62" s="790"/>
      <c r="R62" s="638"/>
      <c r="S62" s="790"/>
      <c r="T62" s="433">
        <f t="shared" si="2"/>
        <v>0</v>
      </c>
      <c r="U62" s="426">
        <f t="shared" si="3"/>
        <v>0</v>
      </c>
    </row>
    <row r="63" spans="3:21" ht="6" customHeight="1">
      <c r="C63" s="648"/>
      <c r="D63" s="649"/>
      <c r="E63" s="649"/>
      <c r="F63" s="649"/>
      <c r="G63" s="649"/>
      <c r="H63" s="649"/>
      <c r="I63" s="650"/>
      <c r="J63" s="641"/>
      <c r="K63" s="688"/>
      <c r="L63" s="689"/>
      <c r="M63" s="681"/>
      <c r="N63" s="682"/>
      <c r="O63" s="690"/>
      <c r="P63" s="638"/>
      <c r="Q63" s="790"/>
      <c r="R63" s="638"/>
      <c r="S63" s="790"/>
      <c r="T63" s="433">
        <f t="shared" si="2"/>
        <v>0</v>
      </c>
      <c r="U63" s="426">
        <f t="shared" si="3"/>
        <v>0</v>
      </c>
    </row>
    <row r="64" spans="3:21" ht="6" customHeight="1">
      <c r="C64" s="677" t="s">
        <v>2705</v>
      </c>
      <c r="D64" s="643"/>
      <c r="E64" s="643"/>
      <c r="F64" s="643"/>
      <c r="G64" s="643"/>
      <c r="H64" s="643"/>
      <c r="I64" s="644"/>
      <c r="J64" s="684">
        <v>16</v>
      </c>
      <c r="K64" s="686" t="s">
        <v>12</v>
      </c>
      <c r="L64" s="667">
        <v>100</v>
      </c>
      <c r="M64" s="665" t="str">
        <f>IF('из города'!$AG$9=3,"Дол.",IF('из города'!$AG$9=1,"Руб.","Грн."))</f>
        <v>Грн.</v>
      </c>
      <c r="N64" s="663">
        <f>J64*L64</f>
        <v>1600</v>
      </c>
      <c r="O64" s="651" t="str">
        <f>IF('из города'!$AG$9=3,"Дол.",IF('из города'!$AG$9=1,"Руб.","Грн."))</f>
        <v>Грн.</v>
      </c>
      <c r="P64" s="638"/>
      <c r="Q64" s="790"/>
      <c r="R64" s="638"/>
      <c r="S64" s="790"/>
      <c r="T64" s="433">
        <f t="shared" si="2"/>
        <v>16</v>
      </c>
      <c r="U64" s="426">
        <f t="shared" si="3"/>
        <v>1600</v>
      </c>
    </row>
    <row r="65" spans="3:21" ht="6" customHeight="1">
      <c r="C65" s="645"/>
      <c r="D65" s="646"/>
      <c r="E65" s="646"/>
      <c r="F65" s="646"/>
      <c r="G65" s="646"/>
      <c r="H65" s="646"/>
      <c r="I65" s="647"/>
      <c r="J65" s="683"/>
      <c r="K65" s="687"/>
      <c r="L65" s="668"/>
      <c r="M65" s="666"/>
      <c r="N65" s="664"/>
      <c r="O65" s="652"/>
      <c r="P65" s="638"/>
      <c r="Q65" s="790"/>
      <c r="R65" s="638"/>
      <c r="S65" s="790"/>
      <c r="T65" s="433">
        <f t="shared" si="2"/>
        <v>0</v>
      </c>
      <c r="U65" s="426">
        <f t="shared" si="3"/>
        <v>0</v>
      </c>
    </row>
    <row r="66" spans="3:21" ht="6" customHeight="1" thickBot="1">
      <c r="C66" s="648"/>
      <c r="D66" s="649"/>
      <c r="E66" s="649"/>
      <c r="F66" s="649"/>
      <c r="G66" s="649"/>
      <c r="H66" s="649"/>
      <c r="I66" s="650"/>
      <c r="J66" s="685"/>
      <c r="K66" s="688"/>
      <c r="L66" s="689"/>
      <c r="M66" s="681"/>
      <c r="N66" s="682"/>
      <c r="O66" s="690"/>
      <c r="P66" s="638"/>
      <c r="Q66" s="790"/>
      <c r="R66" s="638"/>
      <c r="S66" s="790"/>
      <c r="T66" s="433">
        <f t="shared" si="2"/>
        <v>0</v>
      </c>
      <c r="U66" s="426">
        <f t="shared" si="3"/>
        <v>0</v>
      </c>
    </row>
    <row r="67" spans="3:21" s="381" customFormat="1" ht="6" customHeight="1" thickTop="1">
      <c r="C67" s="697" t="s">
        <v>2717</v>
      </c>
      <c r="D67" s="697"/>
      <c r="E67" s="697"/>
      <c r="F67" s="697"/>
      <c r="G67" s="697"/>
      <c r="H67" s="697"/>
      <c r="I67" s="697"/>
      <c r="J67" s="697"/>
      <c r="K67" s="697"/>
      <c r="L67" s="697"/>
      <c r="M67" s="697"/>
      <c r="N67" s="691">
        <f>SUM(N28:N66)</f>
        <v>19187.640412941175</v>
      </c>
      <c r="O67" s="678" t="str">
        <f>IF('из города'!$AG$9=3,"Дол.",IF('из города'!$AG$9=1,"Руб.","Грн."))</f>
        <v>Грн.</v>
      </c>
      <c r="P67" s="638"/>
      <c r="Q67" s="790"/>
      <c r="R67" s="638"/>
      <c r="S67" s="790"/>
      <c r="T67" s="433">
        <f t="shared" si="2"/>
        <v>0</v>
      </c>
      <c r="U67" s="426">
        <f t="shared" si="3"/>
        <v>19187.640412941175</v>
      </c>
    </row>
    <row r="68" spans="3:21" s="381" customFormat="1" ht="6" customHeight="1">
      <c r="C68" s="698"/>
      <c r="D68" s="698"/>
      <c r="E68" s="698"/>
      <c r="F68" s="698"/>
      <c r="G68" s="698"/>
      <c r="H68" s="698"/>
      <c r="I68" s="698"/>
      <c r="J68" s="698"/>
      <c r="K68" s="698"/>
      <c r="L68" s="698"/>
      <c r="M68" s="698"/>
      <c r="N68" s="692"/>
      <c r="O68" s="679"/>
      <c r="P68" s="638"/>
      <c r="Q68" s="790"/>
      <c r="R68" s="638"/>
      <c r="S68" s="790"/>
      <c r="T68" s="433">
        <f t="shared" si="2"/>
        <v>0</v>
      </c>
      <c r="U68" s="426">
        <f t="shared" si="3"/>
        <v>0</v>
      </c>
    </row>
    <row r="69" spans="3:21" s="381" customFormat="1" ht="6" customHeight="1">
      <c r="C69" s="699"/>
      <c r="D69" s="699"/>
      <c r="E69" s="699"/>
      <c r="F69" s="699"/>
      <c r="G69" s="699"/>
      <c r="H69" s="699"/>
      <c r="I69" s="699"/>
      <c r="J69" s="699"/>
      <c r="K69" s="699"/>
      <c r="L69" s="699"/>
      <c r="M69" s="699"/>
      <c r="N69" s="693"/>
      <c r="O69" s="680"/>
      <c r="P69" s="638"/>
      <c r="Q69" s="790"/>
      <c r="R69" s="638"/>
      <c r="S69" s="790"/>
      <c r="T69" s="433">
        <f t="shared" si="2"/>
        <v>0</v>
      </c>
      <c r="U69" s="426">
        <f t="shared" si="3"/>
        <v>0</v>
      </c>
    </row>
    <row r="70" spans="3:21" ht="6" customHeight="1">
      <c r="C70" s="653" t="s">
        <v>2113</v>
      </c>
      <c r="D70" s="654"/>
      <c r="E70" s="654"/>
      <c r="F70" s="654"/>
      <c r="G70" s="654"/>
      <c r="H70" s="654"/>
      <c r="I70" s="655"/>
      <c r="J70" s="659">
        <v>0</v>
      </c>
      <c r="K70" s="661" t="s">
        <v>2659</v>
      </c>
      <c r="L70" s="667">
        <v>0</v>
      </c>
      <c r="M70" s="665" t="str">
        <f>IF('из города'!$AG$9=3,"Дол.",IF('из города'!$AG$9=1,"Руб.","Грн."))</f>
        <v>Грн.</v>
      </c>
      <c r="N70" s="694">
        <f>J70*L70</f>
        <v>0</v>
      </c>
      <c r="O70" s="651" t="str">
        <f>IF('из города'!$AG$9=3,"Дол.",IF('из города'!$AG$9=1,"Руб.","Грн."))</f>
        <v>Грн.</v>
      </c>
      <c r="P70" s="638"/>
      <c r="Q70" s="790"/>
      <c r="R70" s="638"/>
      <c r="S70" s="790"/>
      <c r="T70" s="433">
        <f t="shared" si="2"/>
        <v>0</v>
      </c>
      <c r="U70" s="426">
        <f t="shared" si="3"/>
        <v>0</v>
      </c>
    </row>
    <row r="71" spans="3:21" ht="6" customHeight="1">
      <c r="C71" s="656"/>
      <c r="D71" s="657"/>
      <c r="E71" s="657"/>
      <c r="F71" s="657"/>
      <c r="G71" s="657"/>
      <c r="H71" s="657"/>
      <c r="I71" s="658"/>
      <c r="J71" s="746"/>
      <c r="K71" s="662"/>
      <c r="L71" s="668"/>
      <c r="M71" s="666"/>
      <c r="N71" s="695"/>
      <c r="O71" s="652"/>
      <c r="P71" s="638"/>
      <c r="Q71" s="790"/>
      <c r="R71" s="638"/>
      <c r="S71" s="790"/>
      <c r="T71" s="433">
        <f t="shared" ref="T71:T102" si="4">J71</f>
        <v>0</v>
      </c>
      <c r="U71" s="426">
        <f t="shared" ref="U71:U102" si="5">N71</f>
        <v>0</v>
      </c>
    </row>
    <row r="72" spans="3:21" ht="6" customHeight="1">
      <c r="C72" s="700"/>
      <c r="D72" s="701"/>
      <c r="E72" s="701"/>
      <c r="F72" s="701"/>
      <c r="G72" s="701"/>
      <c r="H72" s="701"/>
      <c r="I72" s="702"/>
      <c r="J72" s="660"/>
      <c r="K72" s="703"/>
      <c r="L72" s="689"/>
      <c r="M72" s="681"/>
      <c r="N72" s="696"/>
      <c r="O72" s="690"/>
      <c r="P72" s="638"/>
      <c r="Q72" s="790"/>
      <c r="R72" s="638"/>
      <c r="S72" s="790"/>
      <c r="T72" s="433">
        <f t="shared" si="4"/>
        <v>0</v>
      </c>
      <c r="U72" s="426">
        <f t="shared" si="5"/>
        <v>0</v>
      </c>
    </row>
    <row r="73" spans="3:21" ht="6" customHeight="1">
      <c r="C73" s="653" t="s">
        <v>2113</v>
      </c>
      <c r="D73" s="654"/>
      <c r="E73" s="654"/>
      <c r="F73" s="654"/>
      <c r="G73" s="654"/>
      <c r="H73" s="654"/>
      <c r="I73" s="655"/>
      <c r="J73" s="659">
        <v>0</v>
      </c>
      <c r="K73" s="661" t="s">
        <v>2659</v>
      </c>
      <c r="L73" s="667">
        <v>0</v>
      </c>
      <c r="M73" s="665" t="str">
        <f>IF('из города'!$AG$9=3,"Дол.",IF('из города'!$AG$9=1,"Руб.","Грн."))</f>
        <v>Грн.</v>
      </c>
      <c r="N73" s="694">
        <f>J73*L73</f>
        <v>0</v>
      </c>
      <c r="O73" s="651" t="str">
        <f>IF('из города'!$AG$9=3,"Дол.",IF('из города'!$AG$9=1,"Руб.","Грн."))</f>
        <v>Грн.</v>
      </c>
      <c r="P73" s="638"/>
      <c r="Q73" s="790"/>
      <c r="R73" s="638"/>
      <c r="S73" s="790"/>
      <c r="T73" s="433">
        <f t="shared" si="4"/>
        <v>0</v>
      </c>
      <c r="U73" s="426">
        <f t="shared" si="5"/>
        <v>0</v>
      </c>
    </row>
    <row r="74" spans="3:21" ht="6" customHeight="1">
      <c r="C74" s="656"/>
      <c r="D74" s="657"/>
      <c r="E74" s="657"/>
      <c r="F74" s="657"/>
      <c r="G74" s="657"/>
      <c r="H74" s="657"/>
      <c r="I74" s="658"/>
      <c r="J74" s="746"/>
      <c r="K74" s="662"/>
      <c r="L74" s="668"/>
      <c r="M74" s="666"/>
      <c r="N74" s="695"/>
      <c r="O74" s="652"/>
      <c r="P74" s="638"/>
      <c r="Q74" s="790"/>
      <c r="R74" s="638"/>
      <c r="S74" s="790"/>
      <c r="T74" s="433">
        <f t="shared" si="4"/>
        <v>0</v>
      </c>
      <c r="U74" s="426">
        <f t="shared" si="5"/>
        <v>0</v>
      </c>
    </row>
    <row r="75" spans="3:21" ht="6" customHeight="1">
      <c r="C75" s="700"/>
      <c r="D75" s="701"/>
      <c r="E75" s="701"/>
      <c r="F75" s="701"/>
      <c r="G75" s="701"/>
      <c r="H75" s="701"/>
      <c r="I75" s="702"/>
      <c r="J75" s="660"/>
      <c r="K75" s="703"/>
      <c r="L75" s="689"/>
      <c r="M75" s="681"/>
      <c r="N75" s="696"/>
      <c r="O75" s="690"/>
      <c r="P75" s="638"/>
      <c r="Q75" s="790"/>
      <c r="R75" s="638"/>
      <c r="S75" s="790"/>
      <c r="T75" s="433">
        <f t="shared" si="4"/>
        <v>0</v>
      </c>
      <c r="U75" s="426">
        <f t="shared" si="5"/>
        <v>0</v>
      </c>
    </row>
    <row r="76" spans="3:21" ht="6" customHeight="1">
      <c r="C76" s="653" t="s">
        <v>2113</v>
      </c>
      <c r="D76" s="654"/>
      <c r="E76" s="654"/>
      <c r="F76" s="654"/>
      <c r="G76" s="654"/>
      <c r="H76" s="654"/>
      <c r="I76" s="655"/>
      <c r="J76" s="659">
        <v>0</v>
      </c>
      <c r="K76" s="661" t="s">
        <v>2659</v>
      </c>
      <c r="L76" s="667">
        <v>0</v>
      </c>
      <c r="M76" s="665" t="str">
        <f>IF('из города'!$AG$9=3,"Дол.",IF('из города'!$AG$9=1,"Руб.","Грн."))</f>
        <v>Грн.</v>
      </c>
      <c r="N76" s="694">
        <f>J76*L76</f>
        <v>0</v>
      </c>
      <c r="O76" s="651" t="str">
        <f>IF('из города'!$AG$9=3,"Дол.",IF('из города'!$AG$9=1,"Руб.","Грн."))</f>
        <v>Грн.</v>
      </c>
      <c r="P76" s="638"/>
      <c r="Q76" s="790"/>
      <c r="R76" s="638"/>
      <c r="S76" s="790"/>
      <c r="T76" s="433">
        <f t="shared" si="4"/>
        <v>0</v>
      </c>
      <c r="U76" s="426">
        <f t="shared" si="5"/>
        <v>0</v>
      </c>
    </row>
    <row r="77" spans="3:21" ht="6" customHeight="1">
      <c r="C77" s="656"/>
      <c r="D77" s="657"/>
      <c r="E77" s="657"/>
      <c r="F77" s="657"/>
      <c r="G77" s="657"/>
      <c r="H77" s="657"/>
      <c r="I77" s="658"/>
      <c r="J77" s="746"/>
      <c r="K77" s="662"/>
      <c r="L77" s="668"/>
      <c r="M77" s="666"/>
      <c r="N77" s="695"/>
      <c r="O77" s="652"/>
      <c r="P77" s="638"/>
      <c r="Q77" s="790"/>
      <c r="R77" s="638"/>
      <c r="S77" s="790"/>
      <c r="T77" s="433">
        <f t="shared" si="4"/>
        <v>0</v>
      </c>
      <c r="U77" s="426">
        <f t="shared" si="5"/>
        <v>0</v>
      </c>
    </row>
    <row r="78" spans="3:21" ht="6" customHeight="1">
      <c r="C78" s="700"/>
      <c r="D78" s="701"/>
      <c r="E78" s="701"/>
      <c r="F78" s="701"/>
      <c r="G78" s="701"/>
      <c r="H78" s="701"/>
      <c r="I78" s="702"/>
      <c r="J78" s="660"/>
      <c r="K78" s="703"/>
      <c r="L78" s="689"/>
      <c r="M78" s="681"/>
      <c r="N78" s="696"/>
      <c r="O78" s="690"/>
      <c r="P78" s="638"/>
      <c r="Q78" s="790"/>
      <c r="R78" s="638"/>
      <c r="S78" s="790"/>
      <c r="T78" s="433">
        <f t="shared" si="4"/>
        <v>0</v>
      </c>
      <c r="U78" s="426">
        <f t="shared" si="5"/>
        <v>0</v>
      </c>
    </row>
    <row r="79" spans="3:21" ht="6" customHeight="1">
      <c r="C79" s="653" t="s">
        <v>2113</v>
      </c>
      <c r="D79" s="654"/>
      <c r="E79" s="654"/>
      <c r="F79" s="654"/>
      <c r="G79" s="654"/>
      <c r="H79" s="654"/>
      <c r="I79" s="655"/>
      <c r="J79" s="659">
        <v>0</v>
      </c>
      <c r="K79" s="661" t="s">
        <v>2659</v>
      </c>
      <c r="L79" s="667">
        <v>0</v>
      </c>
      <c r="M79" s="665" t="str">
        <f>IF('из города'!$AG$9=3,"Дол.",IF('из города'!$AG$9=1,"Руб.","Грн."))</f>
        <v>Грн.</v>
      </c>
      <c r="N79" s="694">
        <f>J79*L79</f>
        <v>0</v>
      </c>
      <c r="O79" s="651" t="str">
        <f>IF('из города'!$AG$9=3,"Дол.",IF('из города'!$AG$9=1,"Руб.","Грн."))</f>
        <v>Грн.</v>
      </c>
      <c r="P79" s="638"/>
      <c r="Q79" s="790"/>
      <c r="R79" s="638"/>
      <c r="S79" s="790"/>
      <c r="T79" s="433">
        <f t="shared" si="4"/>
        <v>0</v>
      </c>
      <c r="U79" s="426">
        <f t="shared" si="5"/>
        <v>0</v>
      </c>
    </row>
    <row r="80" spans="3:21" ht="6" customHeight="1">
      <c r="C80" s="656"/>
      <c r="D80" s="657"/>
      <c r="E80" s="657"/>
      <c r="F80" s="657"/>
      <c r="G80" s="657"/>
      <c r="H80" s="657"/>
      <c r="I80" s="658"/>
      <c r="J80" s="746"/>
      <c r="K80" s="662"/>
      <c r="L80" s="668"/>
      <c r="M80" s="666"/>
      <c r="N80" s="695"/>
      <c r="O80" s="652"/>
      <c r="P80" s="638"/>
      <c r="Q80" s="790"/>
      <c r="R80" s="638"/>
      <c r="S80" s="790"/>
      <c r="T80" s="433">
        <f t="shared" si="4"/>
        <v>0</v>
      </c>
      <c r="U80" s="426">
        <f t="shared" si="5"/>
        <v>0</v>
      </c>
    </row>
    <row r="81" spans="2:21" ht="6" customHeight="1">
      <c r="C81" s="700"/>
      <c r="D81" s="701"/>
      <c r="E81" s="701"/>
      <c r="F81" s="701"/>
      <c r="G81" s="701"/>
      <c r="H81" s="701"/>
      <c r="I81" s="702"/>
      <c r="J81" s="660"/>
      <c r="K81" s="703"/>
      <c r="L81" s="689"/>
      <c r="M81" s="681"/>
      <c r="N81" s="696"/>
      <c r="O81" s="690"/>
      <c r="P81" s="638"/>
      <c r="Q81" s="790"/>
      <c r="R81" s="638"/>
      <c r="S81" s="790"/>
      <c r="T81" s="433">
        <f t="shared" si="4"/>
        <v>0</v>
      </c>
      <c r="U81" s="426">
        <f t="shared" si="5"/>
        <v>0</v>
      </c>
    </row>
    <row r="82" spans="2:21" ht="6" customHeight="1">
      <c r="B82" s="179"/>
      <c r="C82" s="654" t="s">
        <v>2113</v>
      </c>
      <c r="D82" s="654"/>
      <c r="E82" s="654"/>
      <c r="F82" s="654"/>
      <c r="G82" s="654"/>
      <c r="H82" s="654"/>
      <c r="I82" s="655"/>
      <c r="J82" s="659">
        <v>0</v>
      </c>
      <c r="K82" s="661" t="s">
        <v>2659</v>
      </c>
      <c r="L82" s="667">
        <v>0</v>
      </c>
      <c r="M82" s="665" t="str">
        <f>IF('из города'!$AG$9=3,"Дол.",IF('из города'!$AG$9=1,"Руб.","Грн."))</f>
        <v>Грн.</v>
      </c>
      <c r="N82" s="694">
        <f>J82*L82</f>
        <v>0</v>
      </c>
      <c r="O82" s="651" t="str">
        <f>IF('из города'!$AG$9=3,"Дол.",IF('из города'!$AG$9=1,"Руб.","Грн."))</f>
        <v>Грн.</v>
      </c>
      <c r="P82" s="638"/>
      <c r="Q82" s="790"/>
      <c r="R82" s="638"/>
      <c r="S82" s="790"/>
      <c r="T82" s="433">
        <f t="shared" si="4"/>
        <v>0</v>
      </c>
      <c r="U82" s="426">
        <f t="shared" si="5"/>
        <v>0</v>
      </c>
    </row>
    <row r="83" spans="2:21" ht="6" customHeight="1">
      <c r="B83" s="179"/>
      <c r="C83" s="657"/>
      <c r="D83" s="657"/>
      <c r="E83" s="657"/>
      <c r="F83" s="657"/>
      <c r="G83" s="657"/>
      <c r="H83" s="657"/>
      <c r="I83" s="658"/>
      <c r="J83" s="746"/>
      <c r="K83" s="662"/>
      <c r="L83" s="668"/>
      <c r="M83" s="666"/>
      <c r="N83" s="695"/>
      <c r="O83" s="652"/>
      <c r="P83" s="638"/>
      <c r="Q83" s="790"/>
      <c r="R83" s="638"/>
      <c r="S83" s="790"/>
      <c r="T83" s="433">
        <f t="shared" si="4"/>
        <v>0</v>
      </c>
      <c r="U83" s="426">
        <f t="shared" si="5"/>
        <v>0</v>
      </c>
    </row>
    <row r="84" spans="2:21" ht="6" customHeight="1">
      <c r="B84" s="179"/>
      <c r="C84" s="701"/>
      <c r="D84" s="701"/>
      <c r="E84" s="701"/>
      <c r="F84" s="701"/>
      <c r="G84" s="701"/>
      <c r="H84" s="701"/>
      <c r="I84" s="702"/>
      <c r="J84" s="660"/>
      <c r="K84" s="703"/>
      <c r="L84" s="689"/>
      <c r="M84" s="681"/>
      <c r="N84" s="696"/>
      <c r="O84" s="690"/>
      <c r="P84" s="638"/>
      <c r="Q84" s="790"/>
      <c r="R84" s="638"/>
      <c r="S84" s="790"/>
      <c r="T84" s="433">
        <f t="shared" si="4"/>
        <v>0</v>
      </c>
      <c r="U84" s="426">
        <f t="shared" si="5"/>
        <v>0</v>
      </c>
    </row>
    <row r="85" spans="2:21" ht="6" customHeight="1">
      <c r="C85" s="656" t="s">
        <v>2113</v>
      </c>
      <c r="D85" s="657"/>
      <c r="E85" s="657"/>
      <c r="F85" s="657"/>
      <c r="G85" s="657"/>
      <c r="H85" s="657"/>
      <c r="I85" s="658"/>
      <c r="J85" s="746">
        <v>0</v>
      </c>
      <c r="K85" s="661" t="s">
        <v>2659</v>
      </c>
      <c r="L85" s="668">
        <v>0</v>
      </c>
      <c r="M85" s="666" t="str">
        <f>IF('из города'!$AG$9=3,"Дол.",IF('из города'!$AG$9=1,"Руб.","Грн."))</f>
        <v>Грн.</v>
      </c>
      <c r="N85" s="695">
        <f>J85*L85</f>
        <v>0</v>
      </c>
      <c r="O85" s="652" t="str">
        <f>IF('из города'!$AG$9=3,"Дол.",IF('из города'!$AG$9=1,"Руб.","Грн."))</f>
        <v>Грн.</v>
      </c>
      <c r="P85" s="638"/>
      <c r="Q85" s="790"/>
      <c r="R85" s="638"/>
      <c r="S85" s="790"/>
      <c r="T85" s="433">
        <f t="shared" si="4"/>
        <v>0</v>
      </c>
      <c r="U85" s="426">
        <f t="shared" si="5"/>
        <v>0</v>
      </c>
    </row>
    <row r="86" spans="2:21" ht="6" customHeight="1">
      <c r="C86" s="656"/>
      <c r="D86" s="657"/>
      <c r="E86" s="657"/>
      <c r="F86" s="657"/>
      <c r="G86" s="657"/>
      <c r="H86" s="657"/>
      <c r="I86" s="658"/>
      <c r="J86" s="746"/>
      <c r="K86" s="662"/>
      <c r="L86" s="668"/>
      <c r="M86" s="666"/>
      <c r="N86" s="695"/>
      <c r="O86" s="652"/>
      <c r="P86" s="638"/>
      <c r="Q86" s="790"/>
      <c r="R86" s="638"/>
      <c r="S86" s="790"/>
      <c r="T86" s="433">
        <f t="shared" si="4"/>
        <v>0</v>
      </c>
      <c r="U86" s="426">
        <f t="shared" si="5"/>
        <v>0</v>
      </c>
    </row>
    <row r="87" spans="2:21" ht="6" customHeight="1">
      <c r="C87" s="656"/>
      <c r="D87" s="657"/>
      <c r="E87" s="657"/>
      <c r="F87" s="657"/>
      <c r="G87" s="657"/>
      <c r="H87" s="657"/>
      <c r="I87" s="658"/>
      <c r="J87" s="660"/>
      <c r="K87" s="703"/>
      <c r="L87" s="689"/>
      <c r="M87" s="681"/>
      <c r="N87" s="696"/>
      <c r="O87" s="652"/>
      <c r="P87" s="638"/>
      <c r="Q87" s="790"/>
      <c r="R87" s="638"/>
      <c r="S87" s="790"/>
      <c r="T87" s="433">
        <f t="shared" si="4"/>
        <v>0</v>
      </c>
      <c r="U87" s="426">
        <f t="shared" si="5"/>
        <v>0</v>
      </c>
    </row>
    <row r="88" spans="2:21" ht="9.5" customHeight="1">
      <c r="C88" s="677" t="str">
        <f>HYPERLINK("http://tise.su/katalog/bury-fundamentnye-tise/bur-fundamentnyj-tise-fm250","БУР ФУНДАМЕНТНЫЙ ТИСЭ-ФМ250")</f>
        <v>БУР ФУНДАМЕНТНЫЙ ТИСЭ-ФМ250</v>
      </c>
      <c r="D88" s="643"/>
      <c r="E88" s="643"/>
      <c r="F88" s="643"/>
      <c r="G88" s="643"/>
      <c r="H88" s="643"/>
      <c r="I88" s="644"/>
      <c r="J88" s="659">
        <v>0</v>
      </c>
      <c r="K88" s="661" t="s">
        <v>2647</v>
      </c>
      <c r="L88" s="667">
        <v>1800</v>
      </c>
      <c r="M88" s="665" t="str">
        <f>IF('из города'!$AG$9=3,"Дол.",IF('из города'!$AG$9=1,"Руб.","Грн."))</f>
        <v>Грн.</v>
      </c>
      <c r="N88" s="663">
        <f>J88*L88</f>
        <v>0</v>
      </c>
      <c r="O88" s="651" t="str">
        <f>IF('из города'!$AG$9=3,"Дол.",IF('из города'!$AG$9=1,"Руб.","Грн."))</f>
        <v>Грн.</v>
      </c>
      <c r="P88" s="638"/>
      <c r="Q88" s="790"/>
      <c r="R88" s="638"/>
      <c r="S88" s="790"/>
      <c r="T88" s="433">
        <f t="shared" si="4"/>
        <v>0</v>
      </c>
      <c r="U88" s="426">
        <f t="shared" si="5"/>
        <v>0</v>
      </c>
    </row>
    <row r="89" spans="2:21" ht="9.5" customHeight="1">
      <c r="C89" s="645"/>
      <c r="D89" s="646"/>
      <c r="E89" s="646"/>
      <c r="F89" s="646"/>
      <c r="G89" s="646"/>
      <c r="H89" s="646"/>
      <c r="I89" s="647"/>
      <c r="J89" s="660"/>
      <c r="K89" s="662"/>
      <c r="L89" s="668"/>
      <c r="M89" s="666"/>
      <c r="N89" s="664"/>
      <c r="O89" s="652"/>
      <c r="P89" s="638"/>
      <c r="Q89" s="790"/>
      <c r="R89" s="638"/>
      <c r="S89" s="790"/>
      <c r="T89" s="433">
        <f t="shared" si="4"/>
        <v>0</v>
      </c>
      <c r="U89" s="426">
        <f t="shared" si="5"/>
        <v>0</v>
      </c>
    </row>
    <row r="90" spans="2:21" ht="9.5" customHeight="1">
      <c r="C90" s="677" t="str">
        <f>HYPERLINK("https://poltava.prom.ua/p141488076-motobur-1250vt-energomash.html","Мотобур")</f>
        <v>Мотобур</v>
      </c>
      <c r="D90" s="643"/>
      <c r="E90" s="643"/>
      <c r="F90" s="643"/>
      <c r="G90" s="643"/>
      <c r="H90" s="643"/>
      <c r="I90" s="644"/>
      <c r="J90" s="659">
        <v>0</v>
      </c>
      <c r="K90" s="661" t="s">
        <v>2647</v>
      </c>
      <c r="L90" s="667">
        <v>3600</v>
      </c>
      <c r="M90" s="665" t="str">
        <f>IF('из города'!$AG$9=3,"Дол.",IF('из города'!$AG$9=1,"Руб.","Грн."))</f>
        <v>Грн.</v>
      </c>
      <c r="N90" s="663">
        <f>J90*L90</f>
        <v>0</v>
      </c>
      <c r="O90" s="651" t="str">
        <f>IF('из города'!$AG$9=3,"Дол.",IF('из города'!$AG$9=1,"Руб.","Грн."))</f>
        <v>Грн.</v>
      </c>
      <c r="P90" s="638"/>
      <c r="Q90" s="790"/>
      <c r="R90" s="638"/>
      <c r="S90" s="790"/>
      <c r="T90" s="433">
        <f t="shared" si="4"/>
        <v>0</v>
      </c>
      <c r="U90" s="426">
        <f t="shared" si="5"/>
        <v>0</v>
      </c>
    </row>
    <row r="91" spans="2:21" ht="9.5" customHeight="1">
      <c r="C91" s="645"/>
      <c r="D91" s="646"/>
      <c r="E91" s="646"/>
      <c r="F91" s="646"/>
      <c r="G91" s="646"/>
      <c r="H91" s="646"/>
      <c r="I91" s="647"/>
      <c r="J91" s="660"/>
      <c r="K91" s="662"/>
      <c r="L91" s="668"/>
      <c r="M91" s="666"/>
      <c r="N91" s="664"/>
      <c r="O91" s="652"/>
      <c r="P91" s="638"/>
      <c r="Q91" s="790"/>
      <c r="R91" s="638"/>
      <c r="S91" s="790"/>
      <c r="T91" s="433">
        <f t="shared" si="4"/>
        <v>0</v>
      </c>
      <c r="U91" s="426">
        <f t="shared" si="5"/>
        <v>0</v>
      </c>
    </row>
    <row r="92" spans="2:21" ht="9.5" customHeight="1">
      <c r="C92" s="677" t="str">
        <f>HYPERLINK("https://poltava.prom.ua/p276370488-udlinitel-100-dlya.html","Шнэк для бензобура 250мм")</f>
        <v>Шнэк для бензобура 250мм</v>
      </c>
      <c r="D92" s="643"/>
      <c r="E92" s="643"/>
      <c r="F92" s="643"/>
      <c r="G92" s="643"/>
      <c r="H92" s="643"/>
      <c r="I92" s="644"/>
      <c r="J92" s="659">
        <v>0</v>
      </c>
      <c r="K92" s="661" t="s">
        <v>2647</v>
      </c>
      <c r="L92" s="667">
        <v>1050</v>
      </c>
      <c r="M92" s="665" t="str">
        <f>IF('из города'!$AG$9=3,"Дол.",IF('из города'!$AG$9=1,"Руб.","Грн."))</f>
        <v>Грн.</v>
      </c>
      <c r="N92" s="663">
        <f>J92*L92</f>
        <v>0</v>
      </c>
      <c r="O92" s="651" t="str">
        <f>IF('из города'!$AG$9=3,"Дол.",IF('из города'!$AG$9=1,"Руб.","Грн."))</f>
        <v>Грн.</v>
      </c>
      <c r="P92" s="638"/>
      <c r="Q92" s="790"/>
      <c r="R92" s="638"/>
      <c r="S92" s="790"/>
      <c r="T92" s="433">
        <f t="shared" si="4"/>
        <v>0</v>
      </c>
      <c r="U92" s="426">
        <f t="shared" si="5"/>
        <v>0</v>
      </c>
    </row>
    <row r="93" spans="2:21" ht="9.5" customHeight="1">
      <c r="C93" s="645"/>
      <c r="D93" s="646"/>
      <c r="E93" s="646"/>
      <c r="F93" s="646"/>
      <c r="G93" s="646"/>
      <c r="H93" s="646"/>
      <c r="I93" s="647"/>
      <c r="J93" s="660"/>
      <c r="K93" s="662"/>
      <c r="L93" s="668"/>
      <c r="M93" s="666"/>
      <c r="N93" s="664"/>
      <c r="O93" s="652"/>
      <c r="P93" s="638"/>
      <c r="Q93" s="790"/>
      <c r="R93" s="638"/>
      <c r="S93" s="790"/>
      <c r="T93" s="433">
        <f t="shared" si="4"/>
        <v>0</v>
      </c>
      <c r="U93" s="426">
        <f t="shared" si="5"/>
        <v>0</v>
      </c>
    </row>
    <row r="94" spans="2:21" ht="9.5" customHeight="1">
      <c r="C94" s="677" t="str">
        <f>HYPERLINK("http://tise.su/katalog/benzoinstrument/udlinitel-1000-mm","Удлинитель для шнека мотобура 1 метр")</f>
        <v>Удлинитель для шнека мотобура 1 метр</v>
      </c>
      <c r="D94" s="643"/>
      <c r="E94" s="643"/>
      <c r="F94" s="643"/>
      <c r="G94" s="643"/>
      <c r="H94" s="643"/>
      <c r="I94" s="644"/>
      <c r="J94" s="659">
        <v>0</v>
      </c>
      <c r="K94" s="661" t="s">
        <v>2647</v>
      </c>
      <c r="L94" s="667">
        <v>350</v>
      </c>
      <c r="M94" s="665" t="str">
        <f>IF('из города'!$AG$9=3,"Дол.",IF('из города'!$AG$9=1,"Руб.","Грн."))</f>
        <v>Грн.</v>
      </c>
      <c r="N94" s="663">
        <f>J94*L94</f>
        <v>0</v>
      </c>
      <c r="O94" s="651" t="str">
        <f>IF('из города'!$AG$9=3,"Дол.",IF('из города'!$AG$9=1,"Руб.","Грн."))</f>
        <v>Грн.</v>
      </c>
      <c r="P94" s="638"/>
      <c r="Q94" s="790"/>
      <c r="R94" s="638"/>
      <c r="S94" s="790"/>
      <c r="T94" s="433">
        <f t="shared" si="4"/>
        <v>0</v>
      </c>
      <c r="U94" s="426">
        <f t="shared" si="5"/>
        <v>0</v>
      </c>
    </row>
    <row r="95" spans="2:21" ht="9.5" customHeight="1">
      <c r="C95" s="645"/>
      <c r="D95" s="646"/>
      <c r="E95" s="646"/>
      <c r="F95" s="646"/>
      <c r="G95" s="646"/>
      <c r="H95" s="646"/>
      <c r="I95" s="647"/>
      <c r="J95" s="660"/>
      <c r="K95" s="662"/>
      <c r="L95" s="668"/>
      <c r="M95" s="666"/>
      <c r="N95" s="664"/>
      <c r="O95" s="652"/>
      <c r="P95" s="638"/>
      <c r="Q95" s="790"/>
      <c r="R95" s="638"/>
      <c r="S95" s="790"/>
      <c r="T95" s="433">
        <f t="shared" si="4"/>
        <v>0</v>
      </c>
      <c r="U95" s="426">
        <f t="shared" si="5"/>
        <v>0</v>
      </c>
    </row>
    <row r="96" spans="2:21" ht="9.5" customHeight="1">
      <c r="C96" s="677" t="str">
        <f>HYPERLINK("https://poltava.prom.ua/p568730401-vbrator-dlya-betonu.html","Глубинный вибратор для бетона")</f>
        <v>Глубинный вибратор для бетона</v>
      </c>
      <c r="D96" s="643"/>
      <c r="E96" s="643"/>
      <c r="F96" s="643"/>
      <c r="G96" s="643"/>
      <c r="H96" s="643"/>
      <c r="I96" s="644"/>
      <c r="J96" s="659">
        <v>0</v>
      </c>
      <c r="K96" s="661" t="s">
        <v>2647</v>
      </c>
      <c r="L96" s="667">
        <v>1140</v>
      </c>
      <c r="M96" s="665" t="str">
        <f>IF('из города'!$AG$9=3,"Дол.",IF('из города'!$AG$9=1,"Руб.","Грн."))</f>
        <v>Грн.</v>
      </c>
      <c r="N96" s="663">
        <f>J96*L96</f>
        <v>0</v>
      </c>
      <c r="O96" s="651" t="str">
        <f>IF('из города'!$AG$9=3,"Дол.",IF('из города'!$AG$9=1,"Руб.","Грн."))</f>
        <v>Грн.</v>
      </c>
      <c r="P96" s="638"/>
      <c r="Q96" s="790"/>
      <c r="R96" s="638"/>
      <c r="S96" s="790"/>
      <c r="T96" s="433">
        <f t="shared" si="4"/>
        <v>0</v>
      </c>
      <c r="U96" s="426">
        <f t="shared" si="5"/>
        <v>0</v>
      </c>
    </row>
    <row r="97" spans="3:21" ht="9.5" customHeight="1">
      <c r="C97" s="645"/>
      <c r="D97" s="646"/>
      <c r="E97" s="646"/>
      <c r="F97" s="646"/>
      <c r="G97" s="646"/>
      <c r="H97" s="646"/>
      <c r="I97" s="647"/>
      <c r="J97" s="660"/>
      <c r="K97" s="662"/>
      <c r="L97" s="668"/>
      <c r="M97" s="666"/>
      <c r="N97" s="664"/>
      <c r="O97" s="652"/>
      <c r="P97" s="638"/>
      <c r="Q97" s="790"/>
      <c r="R97" s="638"/>
      <c r="S97" s="790"/>
      <c r="T97" s="433">
        <f t="shared" si="4"/>
        <v>0</v>
      </c>
      <c r="U97" s="426">
        <f t="shared" si="5"/>
        <v>0</v>
      </c>
    </row>
    <row r="98" spans="3:21" ht="9.5" customHeight="1">
      <c r="C98" s="677" t="str">
        <f>HYPERLINK("http://mosmonolitservis.ru/catalogue/instrument-dlya-monolitnykh-rabot/ruchnye-stanki-dlya-gibki-armatury/ruchnoj-stanok-dlya-gibki-armatury-diametrom-do-10-mm-detail","Ручной станок для гибки арматуры")</f>
        <v>Ручной станок для гибки арматуры</v>
      </c>
      <c r="D98" s="643"/>
      <c r="E98" s="643"/>
      <c r="F98" s="643"/>
      <c r="G98" s="643"/>
      <c r="H98" s="643"/>
      <c r="I98" s="644"/>
      <c r="J98" s="659">
        <v>0</v>
      </c>
      <c r="K98" s="661" t="s">
        <v>2647</v>
      </c>
      <c r="L98" s="667">
        <v>3100</v>
      </c>
      <c r="M98" s="665" t="str">
        <f>IF('из города'!$AG$9=3,"Дол.",IF('из города'!$AG$9=1,"Руб.","Грн."))</f>
        <v>Грн.</v>
      </c>
      <c r="N98" s="663">
        <f>J98*L98</f>
        <v>0</v>
      </c>
      <c r="O98" s="651" t="str">
        <f>IF('из города'!$AG$9=3,"Дол.",IF('из города'!$AG$9=1,"Руб.","Грн."))</f>
        <v>Грн.</v>
      </c>
      <c r="P98" s="638"/>
      <c r="Q98" s="790"/>
      <c r="R98" s="638"/>
      <c r="S98" s="790"/>
      <c r="T98" s="433">
        <f t="shared" si="4"/>
        <v>0</v>
      </c>
      <c r="U98" s="426">
        <f t="shared" si="5"/>
        <v>0</v>
      </c>
    </row>
    <row r="99" spans="3:21" ht="9.5" customHeight="1">
      <c r="C99" s="645"/>
      <c r="D99" s="646"/>
      <c r="E99" s="646"/>
      <c r="F99" s="646"/>
      <c r="G99" s="646"/>
      <c r="H99" s="646"/>
      <c r="I99" s="647"/>
      <c r="J99" s="660"/>
      <c r="K99" s="662"/>
      <c r="L99" s="668"/>
      <c r="M99" s="666"/>
      <c r="N99" s="664"/>
      <c r="O99" s="652"/>
      <c r="P99" s="638"/>
      <c r="Q99" s="790"/>
      <c r="R99" s="638"/>
      <c r="S99" s="790"/>
      <c r="T99" s="433">
        <f t="shared" si="4"/>
        <v>0</v>
      </c>
      <c r="U99" s="426">
        <f t="shared" si="5"/>
        <v>0</v>
      </c>
    </row>
    <row r="100" spans="3:21" ht="9.5" customHeight="1">
      <c r="C100" s="677" t="str">
        <f>HYPERLINK("http://www.good-tool.ru/products/40467","Шнур для разметки свайного поля 2,0мм 100м полипропилен")</f>
        <v>Шнур для разметки свайного поля 2,0мм 100м полипропилен</v>
      </c>
      <c r="D100" s="643"/>
      <c r="E100" s="643"/>
      <c r="F100" s="643"/>
      <c r="G100" s="643"/>
      <c r="H100" s="643"/>
      <c r="I100" s="644"/>
      <c r="J100" s="659">
        <v>0</v>
      </c>
      <c r="K100" s="661" t="s">
        <v>2619</v>
      </c>
      <c r="L100" s="667">
        <v>2.2000000000000002</v>
      </c>
      <c r="M100" s="665" t="str">
        <f>IF('из города'!$AG$9=3,"Дол.",IF('из города'!$AG$9=1,"Руб.","Грн."))</f>
        <v>Грн.</v>
      </c>
      <c r="N100" s="663">
        <f>J100*L100</f>
        <v>0</v>
      </c>
      <c r="O100" s="651" t="str">
        <f>IF('из города'!$AG$9=3,"Дол.",IF('из города'!$AG$9=1,"Руб.","Грн."))</f>
        <v>Грн.</v>
      </c>
      <c r="P100" s="638"/>
      <c r="Q100" s="790"/>
      <c r="R100" s="638"/>
      <c r="S100" s="790"/>
      <c r="T100" s="433">
        <f t="shared" si="4"/>
        <v>0</v>
      </c>
      <c r="U100" s="426">
        <f t="shared" si="5"/>
        <v>0</v>
      </c>
    </row>
    <row r="101" spans="3:21" ht="9.5" customHeight="1">
      <c r="C101" s="645" t="s">
        <v>2704</v>
      </c>
      <c r="D101" s="646"/>
      <c r="E101" s="646"/>
      <c r="F101" s="646"/>
      <c r="G101" s="646"/>
      <c r="H101" s="646"/>
      <c r="I101" s="647"/>
      <c r="J101" s="660"/>
      <c r="K101" s="662"/>
      <c r="L101" s="668"/>
      <c r="M101" s="666"/>
      <c r="N101" s="664"/>
      <c r="O101" s="652"/>
      <c r="P101" s="638"/>
      <c r="Q101" s="790"/>
      <c r="R101" s="638"/>
      <c r="S101" s="790"/>
      <c r="T101" s="433">
        <f t="shared" si="4"/>
        <v>0</v>
      </c>
      <c r="U101" s="426">
        <f t="shared" si="5"/>
        <v>0</v>
      </c>
    </row>
    <row r="102" spans="3:21" ht="9.5" customHeight="1">
      <c r="C102" s="677" t="s">
        <v>2648</v>
      </c>
      <c r="D102" s="643"/>
      <c r="E102" s="643"/>
      <c r="F102" s="643"/>
      <c r="G102" s="643"/>
      <c r="H102" s="643"/>
      <c r="I102" s="644"/>
      <c r="J102" s="659">
        <v>0</v>
      </c>
      <c r="K102" s="661" t="s">
        <v>2647</v>
      </c>
      <c r="L102" s="667">
        <v>0</v>
      </c>
      <c r="M102" s="665" t="str">
        <f>IF('из города'!$AG$9=3,"Дол.",IF('из города'!$AG$9=1,"Руб.","Грн."))</f>
        <v>Грн.</v>
      </c>
      <c r="N102" s="663">
        <f>J102*L102</f>
        <v>0</v>
      </c>
      <c r="O102" s="651" t="str">
        <f>IF('из города'!$AG$9=3,"Дол.",IF('из города'!$AG$9=1,"Руб.","Грн."))</f>
        <v>Грн.</v>
      </c>
      <c r="P102" s="638"/>
      <c r="Q102" s="790"/>
      <c r="R102" s="638"/>
      <c r="S102" s="790"/>
      <c r="T102" s="433">
        <f t="shared" si="4"/>
        <v>0</v>
      </c>
      <c r="U102" s="426">
        <f t="shared" si="5"/>
        <v>0</v>
      </c>
    </row>
    <row r="103" spans="3:21" ht="9.5" customHeight="1">
      <c r="C103" s="645"/>
      <c r="D103" s="646"/>
      <c r="E103" s="646"/>
      <c r="F103" s="646"/>
      <c r="G103" s="646"/>
      <c r="H103" s="646"/>
      <c r="I103" s="647"/>
      <c r="J103" s="660"/>
      <c r="K103" s="662"/>
      <c r="L103" s="668"/>
      <c r="M103" s="666"/>
      <c r="N103" s="664"/>
      <c r="O103" s="652"/>
      <c r="P103" s="638"/>
      <c r="Q103" s="790"/>
      <c r="R103" s="638"/>
      <c r="S103" s="790"/>
      <c r="T103" s="433">
        <f t="shared" ref="T103:T134" si="6">J103</f>
        <v>0</v>
      </c>
      <c r="U103" s="426">
        <f t="shared" ref="U103:U134" si="7">N103</f>
        <v>0</v>
      </c>
    </row>
    <row r="104" spans="3:21" ht="9.5" customHeight="1">
      <c r="C104" s="677" t="s">
        <v>2645</v>
      </c>
      <c r="D104" s="643"/>
      <c r="E104" s="643"/>
      <c r="F104" s="643"/>
      <c r="G104" s="643"/>
      <c r="H104" s="643"/>
      <c r="I104" s="644"/>
      <c r="J104" s="659">
        <v>0</v>
      </c>
      <c r="K104" s="661" t="s">
        <v>2647</v>
      </c>
      <c r="L104" s="667">
        <v>10000</v>
      </c>
      <c r="M104" s="665" t="str">
        <f>IF('из города'!$AG$9=3,"Дол.",IF('из города'!$AG$9=1,"Руб.","Грн."))</f>
        <v>Грн.</v>
      </c>
      <c r="N104" s="663">
        <f>J104*L104</f>
        <v>0</v>
      </c>
      <c r="O104" s="651" t="str">
        <f>IF('из города'!$AG$9=3,"Дол.",IF('из города'!$AG$9=1,"Руб.","Грн."))</f>
        <v>Грн.</v>
      </c>
      <c r="P104" s="638"/>
      <c r="Q104" s="790"/>
      <c r="R104" s="638"/>
      <c r="S104" s="790"/>
      <c r="T104" s="433">
        <f t="shared" si="6"/>
        <v>0</v>
      </c>
      <c r="U104" s="426">
        <f t="shared" si="7"/>
        <v>0</v>
      </c>
    </row>
    <row r="105" spans="3:21" ht="9.5" customHeight="1">
      <c r="C105" s="645"/>
      <c r="D105" s="646"/>
      <c r="E105" s="646"/>
      <c r="F105" s="646"/>
      <c r="G105" s="646"/>
      <c r="H105" s="646"/>
      <c r="I105" s="647"/>
      <c r="J105" s="660"/>
      <c r="K105" s="662"/>
      <c r="L105" s="668"/>
      <c r="M105" s="666"/>
      <c r="N105" s="664"/>
      <c r="O105" s="652"/>
      <c r="P105" s="638"/>
      <c r="Q105" s="790"/>
      <c r="R105" s="638"/>
      <c r="S105" s="790"/>
      <c r="T105" s="433">
        <f t="shared" si="6"/>
        <v>0</v>
      </c>
      <c r="U105" s="426">
        <f t="shared" si="7"/>
        <v>0</v>
      </c>
    </row>
    <row r="106" spans="3:21" ht="9.5" customHeight="1">
      <c r="C106" s="677" t="s">
        <v>2646</v>
      </c>
      <c r="D106" s="643"/>
      <c r="E106" s="643"/>
      <c r="F106" s="643"/>
      <c r="G106" s="643"/>
      <c r="H106" s="643"/>
      <c r="I106" s="644"/>
      <c r="J106" s="659">
        <v>0</v>
      </c>
      <c r="K106" s="661" t="s">
        <v>2641</v>
      </c>
      <c r="L106" s="667">
        <v>100</v>
      </c>
      <c r="M106" s="665" t="str">
        <f>IF('из города'!$AG$9=3,"Дол.",IF('из города'!$AG$9=1,"Руб.","Грн."))</f>
        <v>Грн.</v>
      </c>
      <c r="N106" s="663">
        <f>J106*L106</f>
        <v>0</v>
      </c>
      <c r="O106" s="651" t="str">
        <f>IF('из города'!$AG$9=3,"Дол.",IF('из города'!$AG$9=1,"Руб.","Грн."))</f>
        <v>Грн.</v>
      </c>
      <c r="P106" s="638"/>
      <c r="Q106" s="790"/>
      <c r="R106" s="638"/>
      <c r="S106" s="790"/>
      <c r="T106" s="433">
        <f t="shared" si="6"/>
        <v>0</v>
      </c>
      <c r="U106" s="426">
        <f t="shared" si="7"/>
        <v>0</v>
      </c>
    </row>
    <row r="107" spans="3:21" ht="9.5" customHeight="1">
      <c r="C107" s="645"/>
      <c r="D107" s="646"/>
      <c r="E107" s="646"/>
      <c r="F107" s="646"/>
      <c r="G107" s="646"/>
      <c r="H107" s="646"/>
      <c r="I107" s="647"/>
      <c r="J107" s="660"/>
      <c r="K107" s="662"/>
      <c r="L107" s="668"/>
      <c r="M107" s="666"/>
      <c r="N107" s="664"/>
      <c r="O107" s="652"/>
      <c r="P107" s="638"/>
      <c r="Q107" s="790"/>
      <c r="R107" s="638"/>
      <c r="S107" s="790"/>
      <c r="T107" s="433">
        <f t="shared" si="6"/>
        <v>0</v>
      </c>
      <c r="U107" s="426">
        <f t="shared" si="7"/>
        <v>0</v>
      </c>
    </row>
    <row r="108" spans="3:21" ht="9.5" customHeight="1">
      <c r="C108" s="677" t="str">
        <f>HYPERLINK("http://www.trade-techno.ru/catalog/instrumenty_dlja_vjazki_armatury","Крюк для вязальной проволоки")</f>
        <v>Крюк для вязальной проволоки</v>
      </c>
      <c r="D108" s="643"/>
      <c r="E108" s="643"/>
      <c r="F108" s="643"/>
      <c r="G108" s="643"/>
      <c r="H108" s="643"/>
      <c r="I108" s="644"/>
      <c r="J108" s="659">
        <v>0</v>
      </c>
      <c r="K108" s="661" t="s">
        <v>2639</v>
      </c>
      <c r="L108" s="667">
        <v>200</v>
      </c>
      <c r="M108" s="665" t="str">
        <f>IF('из города'!$AG$9=3,"Дол.",IF('из города'!$AG$9=1,"Руб.","Грн."))</f>
        <v>Грн.</v>
      </c>
      <c r="N108" s="663">
        <f>J108*L108</f>
        <v>0</v>
      </c>
      <c r="O108" s="651" t="str">
        <f>IF('из города'!$AG$9=3,"Дол.",IF('из города'!$AG$9=1,"Руб.","Грн."))</f>
        <v>Грн.</v>
      </c>
      <c r="P108" s="638"/>
      <c r="Q108" s="790"/>
      <c r="R108" s="638"/>
      <c r="S108" s="790"/>
      <c r="T108" s="433">
        <f t="shared" si="6"/>
        <v>0</v>
      </c>
      <c r="U108" s="426">
        <f t="shared" si="7"/>
        <v>0</v>
      </c>
    </row>
    <row r="109" spans="3:21" ht="9.5" customHeight="1">
      <c r="C109" s="645"/>
      <c r="D109" s="646"/>
      <c r="E109" s="646"/>
      <c r="F109" s="646"/>
      <c r="G109" s="646"/>
      <c r="H109" s="646"/>
      <c r="I109" s="647"/>
      <c r="J109" s="660"/>
      <c r="K109" s="662"/>
      <c r="L109" s="668"/>
      <c r="M109" s="666"/>
      <c r="N109" s="682"/>
      <c r="O109" s="652"/>
      <c r="P109" s="638"/>
      <c r="Q109" s="790"/>
      <c r="R109" s="638"/>
      <c r="S109" s="790"/>
      <c r="T109" s="433">
        <f t="shared" si="6"/>
        <v>0</v>
      </c>
      <c r="U109" s="426">
        <f t="shared" si="7"/>
        <v>0</v>
      </c>
    </row>
    <row r="110" spans="3:21" s="263" customFormat="1" ht="9.5" customHeight="1">
      <c r="C110" s="677" t="s">
        <v>2645</v>
      </c>
      <c r="D110" s="643"/>
      <c r="E110" s="643"/>
      <c r="F110" s="643"/>
      <c r="G110" s="643"/>
      <c r="H110" s="643"/>
      <c r="I110" s="644"/>
      <c r="J110" s="659">
        <v>0</v>
      </c>
      <c r="K110" s="661" t="s">
        <v>2647</v>
      </c>
      <c r="L110" s="667">
        <v>10000</v>
      </c>
      <c r="M110" s="665" t="str">
        <f>IF('из города'!$AG$9=3,"Дол.",IF('из города'!$AG$9=1,"Руб.","Грн."))</f>
        <v>Грн.</v>
      </c>
      <c r="N110" s="663">
        <f>J110*L110</f>
        <v>0</v>
      </c>
      <c r="O110" s="651" t="str">
        <f>IF('из города'!$AG$9=3,"Дол.",IF('из города'!$AG$9=1,"Руб.","Грн."))</f>
        <v>Грн.</v>
      </c>
      <c r="P110" s="638"/>
      <c r="Q110" s="790"/>
      <c r="R110" s="638"/>
      <c r="S110" s="790"/>
      <c r="T110" s="433">
        <f t="shared" si="6"/>
        <v>0</v>
      </c>
      <c r="U110" s="426">
        <f t="shared" si="7"/>
        <v>0</v>
      </c>
    </row>
    <row r="111" spans="3:21" s="263" customFormat="1" ht="9.5" customHeight="1">
      <c r="C111" s="645"/>
      <c r="D111" s="646"/>
      <c r="E111" s="646"/>
      <c r="F111" s="646"/>
      <c r="G111" s="646"/>
      <c r="H111" s="646"/>
      <c r="I111" s="647"/>
      <c r="J111" s="660"/>
      <c r="K111" s="662"/>
      <c r="L111" s="668"/>
      <c r="M111" s="666"/>
      <c r="N111" s="664"/>
      <c r="O111" s="652"/>
      <c r="P111" s="638"/>
      <c r="Q111" s="790"/>
      <c r="R111" s="638"/>
      <c r="S111" s="790"/>
      <c r="T111" s="433">
        <f t="shared" si="6"/>
        <v>0</v>
      </c>
      <c r="U111" s="426">
        <f t="shared" si="7"/>
        <v>0</v>
      </c>
    </row>
    <row r="112" spans="3:21" s="263" customFormat="1" ht="9.5" customHeight="1">
      <c r="C112" s="677" t="s">
        <v>2649</v>
      </c>
      <c r="D112" s="643"/>
      <c r="E112" s="643"/>
      <c r="F112" s="643"/>
      <c r="G112" s="643"/>
      <c r="H112" s="643"/>
      <c r="I112" s="644"/>
      <c r="J112" s="659">
        <v>0</v>
      </c>
      <c r="K112" s="661" t="s">
        <v>2647</v>
      </c>
      <c r="L112" s="667">
        <v>1000</v>
      </c>
      <c r="M112" s="665" t="str">
        <f>IF('из города'!$AG$9=3,"Дол.",IF('из города'!$AG$9=1,"Руб.","Грн."))</f>
        <v>Грн.</v>
      </c>
      <c r="N112" s="663">
        <f>J112*L112</f>
        <v>0</v>
      </c>
      <c r="O112" s="651" t="str">
        <f>IF('из города'!$AG$9=3,"Дол.",IF('из города'!$AG$9=1,"Руб.","Грн."))</f>
        <v>Грн.</v>
      </c>
      <c r="P112" s="638"/>
      <c r="Q112" s="790"/>
      <c r="R112" s="638"/>
      <c r="S112" s="790"/>
      <c r="T112" s="433">
        <f t="shared" si="6"/>
        <v>0</v>
      </c>
      <c r="U112" s="426">
        <f t="shared" si="7"/>
        <v>0</v>
      </c>
    </row>
    <row r="113" spans="3:21" s="263" customFormat="1" ht="9.5" customHeight="1">
      <c r="C113" s="645"/>
      <c r="D113" s="646"/>
      <c r="E113" s="646"/>
      <c r="F113" s="646"/>
      <c r="G113" s="646"/>
      <c r="H113" s="646"/>
      <c r="I113" s="647"/>
      <c r="J113" s="660"/>
      <c r="K113" s="662"/>
      <c r="L113" s="668"/>
      <c r="M113" s="666"/>
      <c r="N113" s="664"/>
      <c r="O113" s="652"/>
      <c r="P113" s="638"/>
      <c r="Q113" s="790"/>
      <c r="R113" s="638"/>
      <c r="S113" s="790"/>
      <c r="T113" s="433">
        <f t="shared" si="6"/>
        <v>0</v>
      </c>
      <c r="U113" s="426">
        <f t="shared" si="7"/>
        <v>0</v>
      </c>
    </row>
    <row r="114" spans="3:21" s="263" customFormat="1" ht="9.5" customHeight="1">
      <c r="C114" s="677" t="s">
        <v>2650</v>
      </c>
      <c r="D114" s="643"/>
      <c r="E114" s="643"/>
      <c r="F114" s="643"/>
      <c r="G114" s="643"/>
      <c r="H114" s="643"/>
      <c r="I114" s="644"/>
      <c r="J114" s="659">
        <v>0</v>
      </c>
      <c r="K114" s="661" t="s">
        <v>2647</v>
      </c>
      <c r="L114" s="667">
        <v>3000</v>
      </c>
      <c r="M114" s="665" t="str">
        <f>IF('из города'!$AG$9=3,"Дол.",IF('из города'!$AG$9=1,"Руб.","Грн."))</f>
        <v>Грн.</v>
      </c>
      <c r="N114" s="663">
        <f>J114*L114</f>
        <v>0</v>
      </c>
      <c r="O114" s="651" t="str">
        <f>IF('из города'!$AG$9=3,"Дол.",IF('из города'!$AG$9=1,"Руб.","Грн."))</f>
        <v>Грн.</v>
      </c>
      <c r="P114" s="638"/>
      <c r="Q114" s="790"/>
      <c r="R114" s="638"/>
      <c r="S114" s="790"/>
      <c r="T114" s="433">
        <f t="shared" si="6"/>
        <v>0</v>
      </c>
      <c r="U114" s="426">
        <f t="shared" si="7"/>
        <v>0</v>
      </c>
    </row>
    <row r="115" spans="3:21" s="263" customFormat="1" ht="9.5" customHeight="1">
      <c r="C115" s="645"/>
      <c r="D115" s="646"/>
      <c r="E115" s="646"/>
      <c r="F115" s="646"/>
      <c r="G115" s="646"/>
      <c r="H115" s="646"/>
      <c r="I115" s="647"/>
      <c r="J115" s="660"/>
      <c r="K115" s="662"/>
      <c r="L115" s="668"/>
      <c r="M115" s="666"/>
      <c r="N115" s="664"/>
      <c r="O115" s="652"/>
      <c r="P115" s="638"/>
      <c r="Q115" s="790"/>
      <c r="R115" s="638"/>
      <c r="S115" s="790"/>
      <c r="T115" s="433">
        <f t="shared" si="6"/>
        <v>0</v>
      </c>
      <c r="U115" s="426">
        <f t="shared" si="7"/>
        <v>0</v>
      </c>
    </row>
    <row r="116" spans="3:21" s="263" customFormat="1" ht="9.5" customHeight="1">
      <c r="C116" s="677" t="s">
        <v>2651</v>
      </c>
      <c r="D116" s="643"/>
      <c r="E116" s="643"/>
      <c r="F116" s="643"/>
      <c r="G116" s="643"/>
      <c r="H116" s="643"/>
      <c r="I116" s="644"/>
      <c r="J116" s="659">
        <v>0</v>
      </c>
      <c r="K116" s="661" t="s">
        <v>2639</v>
      </c>
      <c r="L116" s="667">
        <v>300</v>
      </c>
      <c r="M116" s="665" t="str">
        <f>IF('из города'!$AG$9=3,"Дол.",IF('из города'!$AG$9=1,"Руб.","Грн."))</f>
        <v>Грн.</v>
      </c>
      <c r="N116" s="663">
        <f>J116*L116</f>
        <v>0</v>
      </c>
      <c r="O116" s="651" t="str">
        <f>IF('из города'!$AG$9=3,"Дол.",IF('из города'!$AG$9=1,"Руб.","Грн."))</f>
        <v>Грн.</v>
      </c>
      <c r="P116" s="638"/>
      <c r="Q116" s="790"/>
      <c r="R116" s="638"/>
      <c r="S116" s="790"/>
      <c r="T116" s="433">
        <f t="shared" si="6"/>
        <v>0</v>
      </c>
      <c r="U116" s="426">
        <f t="shared" si="7"/>
        <v>0</v>
      </c>
    </row>
    <row r="117" spans="3:21" s="263" customFormat="1" ht="9.5" customHeight="1">
      <c r="C117" s="645"/>
      <c r="D117" s="646"/>
      <c r="E117" s="646"/>
      <c r="F117" s="646"/>
      <c r="G117" s="646"/>
      <c r="H117" s="646"/>
      <c r="I117" s="647"/>
      <c r="J117" s="660"/>
      <c r="K117" s="662"/>
      <c r="L117" s="668"/>
      <c r="M117" s="666"/>
      <c r="N117" s="664"/>
      <c r="O117" s="652"/>
      <c r="P117" s="638"/>
      <c r="Q117" s="790"/>
      <c r="R117" s="638"/>
      <c r="S117" s="790"/>
      <c r="T117" s="433">
        <f t="shared" si="6"/>
        <v>0</v>
      </c>
      <c r="U117" s="426">
        <f t="shared" si="7"/>
        <v>0</v>
      </c>
    </row>
    <row r="118" spans="3:21" s="263" customFormat="1" ht="9" customHeight="1">
      <c r="C118" s="677" t="s">
        <v>2653</v>
      </c>
      <c r="D118" s="643"/>
      <c r="E118" s="643"/>
      <c r="F118" s="643"/>
      <c r="G118" s="643"/>
      <c r="H118" s="643"/>
      <c r="I118" s="644"/>
      <c r="J118" s="659">
        <v>0</v>
      </c>
      <c r="K118" s="661" t="s">
        <v>2639</v>
      </c>
      <c r="L118" s="667">
        <v>50</v>
      </c>
      <c r="M118" s="665" t="str">
        <f>IF('из города'!$AG$9=3,"Дол.",IF('из города'!$AG$9=1,"Руб.","Грн."))</f>
        <v>Грн.</v>
      </c>
      <c r="N118" s="663">
        <f>J118*L118</f>
        <v>0</v>
      </c>
      <c r="O118" s="651" t="str">
        <f>IF('из города'!$AG$9=3,"Дол.",IF('из города'!$AG$9=1,"Руб.","Грн."))</f>
        <v>Грн.</v>
      </c>
      <c r="P118" s="638"/>
      <c r="Q118" s="790"/>
      <c r="R118" s="638"/>
      <c r="S118" s="790"/>
      <c r="T118" s="433">
        <f t="shared" si="6"/>
        <v>0</v>
      </c>
      <c r="U118" s="426">
        <f t="shared" si="7"/>
        <v>0</v>
      </c>
    </row>
    <row r="119" spans="3:21" s="263" customFormat="1" ht="9" customHeight="1">
      <c r="C119" s="645"/>
      <c r="D119" s="646"/>
      <c r="E119" s="646"/>
      <c r="F119" s="646"/>
      <c r="G119" s="646"/>
      <c r="H119" s="646"/>
      <c r="I119" s="647"/>
      <c r="J119" s="660"/>
      <c r="K119" s="662"/>
      <c r="L119" s="668"/>
      <c r="M119" s="666"/>
      <c r="N119" s="664"/>
      <c r="O119" s="652"/>
      <c r="P119" s="638"/>
      <c r="Q119" s="790"/>
      <c r="R119" s="638"/>
      <c r="S119" s="790"/>
      <c r="T119" s="433">
        <f t="shared" si="6"/>
        <v>0</v>
      </c>
      <c r="U119" s="426">
        <f t="shared" si="7"/>
        <v>0</v>
      </c>
    </row>
    <row r="120" spans="3:21" s="263" customFormat="1" ht="9" customHeight="1">
      <c r="C120" s="677" t="s">
        <v>2652</v>
      </c>
      <c r="D120" s="643"/>
      <c r="E120" s="643"/>
      <c r="F120" s="643"/>
      <c r="G120" s="643"/>
      <c r="H120" s="643"/>
      <c r="I120" s="644"/>
      <c r="J120" s="659">
        <v>0</v>
      </c>
      <c r="K120" s="661" t="s">
        <v>2641</v>
      </c>
      <c r="L120" s="667">
        <v>5</v>
      </c>
      <c r="M120" s="665" t="str">
        <f>IF('из города'!$AG$9=3,"Дол.",IF('из города'!$AG$9=1,"Руб.","Грн."))</f>
        <v>Грн.</v>
      </c>
      <c r="N120" s="663">
        <f>J120*L120</f>
        <v>0</v>
      </c>
      <c r="O120" s="651" t="str">
        <f>IF('из города'!$AG$9=3,"Дол.",IF('из города'!$AG$9=1,"Руб.","Грн."))</f>
        <v>Грн.</v>
      </c>
      <c r="P120" s="638"/>
      <c r="Q120" s="790"/>
      <c r="R120" s="638"/>
      <c r="S120" s="790"/>
      <c r="T120" s="433">
        <f t="shared" si="6"/>
        <v>0</v>
      </c>
      <c r="U120" s="426">
        <f t="shared" si="7"/>
        <v>0</v>
      </c>
    </row>
    <row r="121" spans="3:21" s="263" customFormat="1" ht="9" customHeight="1">
      <c r="C121" s="645"/>
      <c r="D121" s="646"/>
      <c r="E121" s="646"/>
      <c r="F121" s="646"/>
      <c r="G121" s="646"/>
      <c r="H121" s="646"/>
      <c r="I121" s="647"/>
      <c r="J121" s="660"/>
      <c r="K121" s="662"/>
      <c r="L121" s="668"/>
      <c r="M121" s="666"/>
      <c r="N121" s="664"/>
      <c r="O121" s="652"/>
      <c r="P121" s="638"/>
      <c r="Q121" s="790"/>
      <c r="R121" s="638"/>
      <c r="S121" s="790"/>
      <c r="T121" s="433">
        <f t="shared" si="6"/>
        <v>0</v>
      </c>
      <c r="U121" s="426">
        <f t="shared" si="7"/>
        <v>0</v>
      </c>
    </row>
    <row r="122" spans="3:21" s="263" customFormat="1" ht="9" customHeight="1">
      <c r="C122" s="677" t="s">
        <v>2654</v>
      </c>
      <c r="D122" s="643"/>
      <c r="E122" s="643"/>
      <c r="F122" s="643"/>
      <c r="G122" s="643"/>
      <c r="H122" s="643"/>
      <c r="I122" s="644"/>
      <c r="J122" s="659">
        <v>0</v>
      </c>
      <c r="K122" s="661" t="s">
        <v>2639</v>
      </c>
      <c r="L122" s="667">
        <v>700</v>
      </c>
      <c r="M122" s="665" t="str">
        <f>IF('из города'!$AG$9=3,"Дол.",IF('из города'!$AG$9=1,"Руб.","Грн."))</f>
        <v>Грн.</v>
      </c>
      <c r="N122" s="663">
        <f>J122*L122</f>
        <v>0</v>
      </c>
      <c r="O122" s="651" t="str">
        <f>IF('из города'!$AG$9=3,"Дол.",IF('из города'!$AG$9=1,"Руб.","Грн."))</f>
        <v>Грн.</v>
      </c>
      <c r="P122" s="638"/>
      <c r="Q122" s="790"/>
      <c r="R122" s="638"/>
      <c r="S122" s="790"/>
      <c r="T122" s="433">
        <f t="shared" si="6"/>
        <v>0</v>
      </c>
      <c r="U122" s="426">
        <f t="shared" si="7"/>
        <v>0</v>
      </c>
    </row>
    <row r="123" spans="3:21" s="263" customFormat="1" ht="9" customHeight="1">
      <c r="C123" s="645"/>
      <c r="D123" s="646"/>
      <c r="E123" s="646"/>
      <c r="F123" s="646"/>
      <c r="G123" s="646"/>
      <c r="H123" s="646"/>
      <c r="I123" s="647"/>
      <c r="J123" s="660"/>
      <c r="K123" s="662"/>
      <c r="L123" s="668"/>
      <c r="M123" s="666"/>
      <c r="N123" s="664"/>
      <c r="O123" s="652"/>
      <c r="P123" s="638"/>
      <c r="Q123" s="790"/>
      <c r="R123" s="638"/>
      <c r="S123" s="790"/>
      <c r="T123" s="433">
        <f t="shared" si="6"/>
        <v>0</v>
      </c>
      <c r="U123" s="426">
        <f t="shared" si="7"/>
        <v>0</v>
      </c>
    </row>
    <row r="124" spans="3:21" s="263" customFormat="1" ht="9" customHeight="1">
      <c r="C124" s="677" t="s">
        <v>2655</v>
      </c>
      <c r="D124" s="643"/>
      <c r="E124" s="643"/>
      <c r="F124" s="643"/>
      <c r="G124" s="643"/>
      <c r="H124" s="643"/>
      <c r="I124" s="644"/>
      <c r="J124" s="659">
        <v>0</v>
      </c>
      <c r="K124" s="661" t="s">
        <v>2647</v>
      </c>
      <c r="L124" s="667">
        <v>1000</v>
      </c>
      <c r="M124" s="665" t="str">
        <f>IF('из города'!$AG$9=3,"Дол.",IF('из города'!$AG$9=1,"Руб.","Грн."))</f>
        <v>Грн.</v>
      </c>
      <c r="N124" s="663">
        <f>J124*L124</f>
        <v>0</v>
      </c>
      <c r="O124" s="651" t="str">
        <f>IF('из города'!$AG$9=3,"Дол.",IF('из города'!$AG$9=1,"Руб.","Грн."))</f>
        <v>Грн.</v>
      </c>
      <c r="P124" s="638"/>
      <c r="Q124" s="790"/>
      <c r="R124" s="638"/>
      <c r="S124" s="790"/>
      <c r="T124" s="433">
        <f t="shared" si="6"/>
        <v>0</v>
      </c>
      <c r="U124" s="426">
        <f t="shared" si="7"/>
        <v>0</v>
      </c>
    </row>
    <row r="125" spans="3:21" s="263" customFormat="1" ht="9" customHeight="1">
      <c r="C125" s="645"/>
      <c r="D125" s="646"/>
      <c r="E125" s="646"/>
      <c r="F125" s="646"/>
      <c r="G125" s="646"/>
      <c r="H125" s="646"/>
      <c r="I125" s="647"/>
      <c r="J125" s="660"/>
      <c r="K125" s="662"/>
      <c r="L125" s="668"/>
      <c r="M125" s="666"/>
      <c r="N125" s="664"/>
      <c r="O125" s="652"/>
      <c r="P125" s="638"/>
      <c r="Q125" s="790"/>
      <c r="R125" s="638"/>
      <c r="S125" s="790"/>
      <c r="T125" s="433">
        <f t="shared" si="6"/>
        <v>0</v>
      </c>
      <c r="U125" s="426">
        <f t="shared" si="7"/>
        <v>0</v>
      </c>
    </row>
    <row r="126" spans="3:21" s="263" customFormat="1" ht="9" customHeight="1">
      <c r="C126" s="677" t="s">
        <v>2656</v>
      </c>
      <c r="D126" s="643"/>
      <c r="E126" s="643"/>
      <c r="F126" s="643"/>
      <c r="G126" s="643"/>
      <c r="H126" s="643"/>
      <c r="I126" s="644"/>
      <c r="J126" s="659">
        <v>0</v>
      </c>
      <c r="K126" s="661" t="s">
        <v>2647</v>
      </c>
      <c r="L126" s="667">
        <v>300</v>
      </c>
      <c r="M126" s="665" t="str">
        <f>IF('из города'!$AG$9=3,"Дол.",IF('из города'!$AG$9=1,"Руб.","Грн."))</f>
        <v>Грн.</v>
      </c>
      <c r="N126" s="663">
        <f>J126*L126</f>
        <v>0</v>
      </c>
      <c r="O126" s="651" t="str">
        <f>IF('из города'!$AG$9=3,"Дол.",IF('из города'!$AG$9=1,"Руб.","Грн."))</f>
        <v>Грн.</v>
      </c>
      <c r="P126" s="638"/>
      <c r="Q126" s="790"/>
      <c r="R126" s="638"/>
      <c r="S126" s="790"/>
      <c r="T126" s="433">
        <f t="shared" si="6"/>
        <v>0</v>
      </c>
      <c r="U126" s="426">
        <f t="shared" si="7"/>
        <v>0</v>
      </c>
    </row>
    <row r="127" spans="3:21" s="263" customFormat="1" ht="9" customHeight="1">
      <c r="C127" s="645"/>
      <c r="D127" s="646"/>
      <c r="E127" s="646"/>
      <c r="F127" s="646"/>
      <c r="G127" s="646"/>
      <c r="H127" s="646"/>
      <c r="I127" s="647"/>
      <c r="J127" s="660"/>
      <c r="K127" s="662"/>
      <c r="L127" s="668"/>
      <c r="M127" s="666"/>
      <c r="N127" s="664"/>
      <c r="O127" s="652"/>
      <c r="P127" s="638"/>
      <c r="Q127" s="790"/>
      <c r="R127" s="638"/>
      <c r="S127" s="790"/>
      <c r="T127" s="433">
        <f t="shared" si="6"/>
        <v>0</v>
      </c>
      <c r="U127" s="426">
        <f t="shared" si="7"/>
        <v>0</v>
      </c>
    </row>
    <row r="128" spans="3:21" s="263" customFormat="1" ht="9" customHeight="1">
      <c r="C128" s="677" t="s">
        <v>2657</v>
      </c>
      <c r="D128" s="643"/>
      <c r="E128" s="643"/>
      <c r="F128" s="643"/>
      <c r="G128" s="643"/>
      <c r="H128" s="643"/>
      <c r="I128" s="644"/>
      <c r="J128" s="659">
        <v>0</v>
      </c>
      <c r="K128" s="661" t="s">
        <v>2647</v>
      </c>
      <c r="L128" s="667">
        <v>400</v>
      </c>
      <c r="M128" s="665" t="str">
        <f>IF('из города'!$AG$9=3,"Дол.",IF('из города'!$AG$9=1,"Руб.","Грн."))</f>
        <v>Грн.</v>
      </c>
      <c r="N128" s="663">
        <f>J128*L128</f>
        <v>0</v>
      </c>
      <c r="O128" s="651" t="str">
        <f>IF('из города'!$AG$9=3,"Дол.",IF('из города'!$AG$9=1,"Руб.","Грн."))</f>
        <v>Грн.</v>
      </c>
      <c r="P128" s="638"/>
      <c r="Q128" s="790"/>
      <c r="R128" s="638"/>
      <c r="S128" s="790"/>
      <c r="T128" s="433">
        <f t="shared" si="6"/>
        <v>0</v>
      </c>
      <c r="U128" s="426">
        <f t="shared" si="7"/>
        <v>0</v>
      </c>
    </row>
    <row r="129" spans="1:22" s="263" customFormat="1" ht="9" customHeight="1">
      <c r="C129" s="645"/>
      <c r="D129" s="646"/>
      <c r="E129" s="646"/>
      <c r="F129" s="646"/>
      <c r="G129" s="646"/>
      <c r="H129" s="646"/>
      <c r="I129" s="647"/>
      <c r="J129" s="660"/>
      <c r="K129" s="662"/>
      <c r="L129" s="668"/>
      <c r="M129" s="666"/>
      <c r="N129" s="664"/>
      <c r="O129" s="652"/>
      <c r="P129" s="638"/>
      <c r="Q129" s="790"/>
      <c r="R129" s="638"/>
      <c r="S129" s="790"/>
      <c r="T129" s="433">
        <f t="shared" si="6"/>
        <v>0</v>
      </c>
      <c r="U129" s="426">
        <f t="shared" si="7"/>
        <v>0</v>
      </c>
    </row>
    <row r="130" spans="1:22" s="263" customFormat="1" ht="9" customHeight="1">
      <c r="C130" s="669" t="s">
        <v>2660</v>
      </c>
      <c r="D130" s="670"/>
      <c r="E130" s="670"/>
      <c r="F130" s="670"/>
      <c r="G130" s="670"/>
      <c r="H130" s="670"/>
      <c r="I130" s="671"/>
      <c r="J130" s="659">
        <v>0</v>
      </c>
      <c r="K130" s="661" t="s">
        <v>2661</v>
      </c>
      <c r="L130" s="667">
        <v>200</v>
      </c>
      <c r="M130" s="675" t="str">
        <f>IF('из города'!$AG$9=3,"Дол.",IF('из города'!$AG$9=1,"Руб.","Грн."))</f>
        <v>Грн.</v>
      </c>
      <c r="N130" s="663">
        <f>J130*L130</f>
        <v>0</v>
      </c>
      <c r="O130" s="651" t="str">
        <f>IF('из города'!$AG$9=3,"Дол.",IF('из города'!$AG$9=1,"Руб.","Грн."))</f>
        <v>Грн.</v>
      </c>
      <c r="P130" s="638"/>
      <c r="Q130" s="790"/>
      <c r="R130" s="638"/>
      <c r="S130" s="790"/>
      <c r="T130" s="433">
        <f t="shared" si="6"/>
        <v>0</v>
      </c>
      <c r="U130" s="426">
        <f t="shared" si="7"/>
        <v>0</v>
      </c>
    </row>
    <row r="131" spans="1:22" s="263" customFormat="1" ht="9" customHeight="1">
      <c r="C131" s="672"/>
      <c r="D131" s="673"/>
      <c r="E131" s="673"/>
      <c r="F131" s="673"/>
      <c r="G131" s="673"/>
      <c r="H131" s="673"/>
      <c r="I131" s="674"/>
      <c r="J131" s="660"/>
      <c r="K131" s="662"/>
      <c r="L131" s="668"/>
      <c r="M131" s="676"/>
      <c r="N131" s="664"/>
      <c r="O131" s="652"/>
      <c r="P131" s="638"/>
      <c r="Q131" s="790"/>
      <c r="R131" s="638"/>
      <c r="S131" s="790"/>
      <c r="T131" s="433">
        <f t="shared" si="6"/>
        <v>0</v>
      </c>
      <c r="U131" s="426">
        <f t="shared" si="7"/>
        <v>0</v>
      </c>
    </row>
    <row r="132" spans="1:22" s="263" customFormat="1" ht="9" customHeight="1">
      <c r="C132" s="653" t="s">
        <v>2658</v>
      </c>
      <c r="D132" s="654"/>
      <c r="E132" s="654"/>
      <c r="F132" s="654"/>
      <c r="G132" s="654"/>
      <c r="H132" s="654"/>
      <c r="I132" s="655"/>
      <c r="J132" s="659">
        <v>1</v>
      </c>
      <c r="K132" s="661" t="s">
        <v>2647</v>
      </c>
      <c r="L132" s="667">
        <v>0</v>
      </c>
      <c r="M132" s="665" t="str">
        <f>IF('из города'!$AG$9=3,"Дол.",IF('из города'!$AG$9=1,"Руб.","Грн."))</f>
        <v>Грн.</v>
      </c>
      <c r="N132" s="663">
        <f>J132*L132</f>
        <v>0</v>
      </c>
      <c r="O132" s="651" t="str">
        <f>IF('из города'!$AG$9=3,"Дол.",IF('из города'!$AG$9=1,"Руб.","Грн."))</f>
        <v>Грн.</v>
      </c>
      <c r="P132" s="638"/>
      <c r="Q132" s="790"/>
      <c r="R132" s="638"/>
      <c r="S132" s="790"/>
      <c r="T132" s="433">
        <f t="shared" si="6"/>
        <v>1</v>
      </c>
      <c r="U132" s="426">
        <f t="shared" si="7"/>
        <v>0</v>
      </c>
    </row>
    <row r="133" spans="1:22" s="263" customFormat="1" ht="9" customHeight="1">
      <c r="C133" s="656"/>
      <c r="D133" s="657"/>
      <c r="E133" s="657"/>
      <c r="F133" s="657"/>
      <c r="G133" s="657"/>
      <c r="H133" s="657"/>
      <c r="I133" s="658"/>
      <c r="J133" s="660"/>
      <c r="K133" s="662"/>
      <c r="L133" s="668"/>
      <c r="M133" s="666"/>
      <c r="N133" s="664"/>
      <c r="O133" s="652"/>
      <c r="P133" s="638"/>
      <c r="Q133" s="790"/>
      <c r="R133" s="638"/>
      <c r="S133" s="790"/>
      <c r="T133" s="433">
        <f t="shared" si="6"/>
        <v>0</v>
      </c>
      <c r="U133" s="426">
        <f t="shared" si="7"/>
        <v>0</v>
      </c>
    </row>
    <row r="134" spans="1:22" s="263" customFormat="1" ht="9" customHeight="1">
      <c r="C134" s="653" t="s">
        <v>2658</v>
      </c>
      <c r="D134" s="654"/>
      <c r="E134" s="654"/>
      <c r="F134" s="654"/>
      <c r="G134" s="654"/>
      <c r="H134" s="654"/>
      <c r="I134" s="655"/>
      <c r="J134" s="659">
        <v>1</v>
      </c>
      <c r="K134" s="661" t="s">
        <v>2647</v>
      </c>
      <c r="L134" s="667">
        <v>0</v>
      </c>
      <c r="M134" s="665" t="str">
        <f>IF('из города'!$AG$9=3,"Дол.",IF('из города'!$AG$9=1,"Руб.","Грн."))</f>
        <v>Грн.</v>
      </c>
      <c r="N134" s="663">
        <f>J134*L134</f>
        <v>0</v>
      </c>
      <c r="O134" s="651" t="str">
        <f>IF('из города'!$AG$9=3,"Дол.",IF('из города'!$AG$9=1,"Руб.","Грн."))</f>
        <v>Грн.</v>
      </c>
      <c r="P134" s="638"/>
      <c r="Q134" s="790"/>
      <c r="R134" s="638"/>
      <c r="S134" s="790"/>
      <c r="T134" s="433">
        <f t="shared" si="6"/>
        <v>1</v>
      </c>
      <c r="U134" s="426">
        <f t="shared" si="7"/>
        <v>0</v>
      </c>
    </row>
    <row r="135" spans="1:22" s="263" customFormat="1" ht="9" customHeight="1">
      <c r="C135" s="656"/>
      <c r="D135" s="657"/>
      <c r="E135" s="657"/>
      <c r="F135" s="657"/>
      <c r="G135" s="657"/>
      <c r="H135" s="657"/>
      <c r="I135" s="658"/>
      <c r="J135" s="660"/>
      <c r="K135" s="662"/>
      <c r="L135" s="668"/>
      <c r="M135" s="666"/>
      <c r="N135" s="664"/>
      <c r="O135" s="652"/>
      <c r="P135" s="638"/>
      <c r="Q135" s="790"/>
      <c r="R135" s="638"/>
      <c r="S135" s="790"/>
      <c r="T135" s="433">
        <f t="shared" ref="T135:T141" si="8">J135</f>
        <v>0</v>
      </c>
      <c r="U135" s="426">
        <f t="shared" ref="U135:U141" si="9">N135</f>
        <v>0</v>
      </c>
    </row>
    <row r="136" spans="1:22" s="263" customFormat="1" ht="9" customHeight="1">
      <c r="C136" s="653" t="s">
        <v>2658</v>
      </c>
      <c r="D136" s="654"/>
      <c r="E136" s="654"/>
      <c r="F136" s="654"/>
      <c r="G136" s="654"/>
      <c r="H136" s="654"/>
      <c r="I136" s="655"/>
      <c r="J136" s="659">
        <v>1</v>
      </c>
      <c r="K136" s="661" t="s">
        <v>2647</v>
      </c>
      <c r="L136" s="667">
        <v>0</v>
      </c>
      <c r="M136" s="665" t="str">
        <f>IF('из города'!$AG$9=3,"Дол.",IF('из города'!$AG$9=1,"Руб.","Грн."))</f>
        <v>Грн.</v>
      </c>
      <c r="N136" s="663">
        <f>J136*L136</f>
        <v>0</v>
      </c>
      <c r="O136" s="651" t="str">
        <f>IF('из города'!$AG$9=3,"Дол.",IF('из города'!$AG$9=1,"Руб.","Грн."))</f>
        <v>Грн.</v>
      </c>
      <c r="P136" s="638"/>
      <c r="Q136" s="790"/>
      <c r="R136" s="638"/>
      <c r="S136" s="790"/>
      <c r="T136" s="433">
        <f t="shared" si="8"/>
        <v>1</v>
      </c>
      <c r="U136" s="426">
        <f t="shared" si="9"/>
        <v>0</v>
      </c>
    </row>
    <row r="137" spans="1:22" s="263" customFormat="1" ht="9" customHeight="1">
      <c r="C137" s="656"/>
      <c r="D137" s="657"/>
      <c r="E137" s="657"/>
      <c r="F137" s="657"/>
      <c r="G137" s="657"/>
      <c r="H137" s="657"/>
      <c r="I137" s="658"/>
      <c r="J137" s="660"/>
      <c r="K137" s="662"/>
      <c r="L137" s="668"/>
      <c r="M137" s="666"/>
      <c r="N137" s="664"/>
      <c r="O137" s="652"/>
      <c r="P137" s="638"/>
      <c r="Q137" s="790"/>
      <c r="R137" s="638"/>
      <c r="S137" s="790"/>
      <c r="T137" s="433">
        <f t="shared" si="8"/>
        <v>0</v>
      </c>
      <c r="U137" s="426">
        <f t="shared" si="9"/>
        <v>0</v>
      </c>
    </row>
    <row r="138" spans="1:22" s="263" customFormat="1" ht="9" customHeight="1">
      <c r="C138" s="653" t="s">
        <v>2658</v>
      </c>
      <c r="D138" s="654"/>
      <c r="E138" s="654"/>
      <c r="F138" s="654"/>
      <c r="G138" s="654"/>
      <c r="H138" s="654"/>
      <c r="I138" s="655"/>
      <c r="J138" s="659">
        <v>1</v>
      </c>
      <c r="K138" s="661" t="s">
        <v>2647</v>
      </c>
      <c r="L138" s="667">
        <v>0</v>
      </c>
      <c r="M138" s="665" t="str">
        <f>IF('из города'!$AG$9=3,"Дол.",IF('из города'!$AG$9=1,"Руб.","Грн."))</f>
        <v>Грн.</v>
      </c>
      <c r="N138" s="663">
        <f>J138*L138</f>
        <v>0</v>
      </c>
      <c r="O138" s="651" t="str">
        <f>IF('из города'!$AG$9=3,"Дол.",IF('из города'!$AG$9=1,"Руб.","Грн."))</f>
        <v>Грн.</v>
      </c>
      <c r="P138" s="638"/>
      <c r="Q138" s="790"/>
      <c r="R138" s="638"/>
      <c r="S138" s="790"/>
      <c r="T138" s="433">
        <f t="shared" si="8"/>
        <v>1</v>
      </c>
      <c r="U138" s="426">
        <f t="shared" si="9"/>
        <v>0</v>
      </c>
    </row>
    <row r="139" spans="1:22" s="263" customFormat="1" ht="9" customHeight="1">
      <c r="C139" s="656"/>
      <c r="D139" s="657"/>
      <c r="E139" s="657"/>
      <c r="F139" s="657"/>
      <c r="G139" s="657"/>
      <c r="H139" s="657"/>
      <c r="I139" s="658"/>
      <c r="J139" s="660"/>
      <c r="K139" s="662"/>
      <c r="L139" s="668"/>
      <c r="M139" s="666"/>
      <c r="N139" s="664"/>
      <c r="O139" s="652"/>
      <c r="P139" s="638"/>
      <c r="Q139" s="790"/>
      <c r="R139" s="638"/>
      <c r="S139" s="790"/>
      <c r="T139" s="433">
        <f t="shared" si="8"/>
        <v>0</v>
      </c>
      <c r="U139" s="426">
        <f t="shared" si="9"/>
        <v>0</v>
      </c>
    </row>
    <row r="140" spans="1:22" s="263" customFormat="1" ht="9" customHeight="1">
      <c r="C140" s="653" t="s">
        <v>2658</v>
      </c>
      <c r="D140" s="654"/>
      <c r="E140" s="654"/>
      <c r="F140" s="654"/>
      <c r="G140" s="654"/>
      <c r="H140" s="654"/>
      <c r="I140" s="655"/>
      <c r="J140" s="659">
        <v>1</v>
      </c>
      <c r="K140" s="661" t="s">
        <v>2647</v>
      </c>
      <c r="L140" s="667">
        <v>0</v>
      </c>
      <c r="M140" s="665" t="str">
        <f>IF('из города'!$AG$9=3,"Дол.",IF('из города'!$AG$9=1,"Руб.","Грн."))</f>
        <v>Грн.</v>
      </c>
      <c r="N140" s="663">
        <f>J140*L140</f>
        <v>0</v>
      </c>
      <c r="O140" s="651" t="str">
        <f>IF('из города'!$AG$9=3,"Дол.",IF('из города'!$AG$9=1,"Руб.","Грн."))</f>
        <v>Грн.</v>
      </c>
      <c r="P140" s="638"/>
      <c r="Q140" s="790"/>
      <c r="R140" s="638"/>
      <c r="S140" s="790"/>
      <c r="T140" s="433">
        <f t="shared" si="8"/>
        <v>1</v>
      </c>
      <c r="U140" s="426">
        <f t="shared" si="9"/>
        <v>0</v>
      </c>
    </row>
    <row r="141" spans="1:22" s="263" customFormat="1" ht="9" customHeight="1">
      <c r="C141" s="656"/>
      <c r="D141" s="657"/>
      <c r="E141" s="657"/>
      <c r="F141" s="657"/>
      <c r="G141" s="657"/>
      <c r="H141" s="657"/>
      <c r="I141" s="658"/>
      <c r="J141" s="660"/>
      <c r="K141" s="662"/>
      <c r="L141" s="668"/>
      <c r="M141" s="666"/>
      <c r="N141" s="664"/>
      <c r="O141" s="652"/>
      <c r="P141" s="638"/>
      <c r="Q141" s="790"/>
      <c r="R141" s="638"/>
      <c r="S141" s="790"/>
      <c r="T141" s="433">
        <f t="shared" si="8"/>
        <v>0</v>
      </c>
      <c r="U141" s="426">
        <f t="shared" si="9"/>
        <v>0</v>
      </c>
    </row>
    <row r="142" spans="1:22" s="263" customFormat="1" ht="7.5" customHeight="1">
      <c r="A142"/>
      <c r="B142" s="285" t="b">
        <v>0</v>
      </c>
      <c r="C142" s="749" t="s">
        <v>15</v>
      </c>
      <c r="D142" s="750"/>
      <c r="E142" s="750"/>
      <c r="F142" s="750"/>
      <c r="G142" s="750"/>
      <c r="H142" s="750"/>
      <c r="I142" s="259"/>
      <c r="J142" s="259"/>
      <c r="K142" s="260"/>
      <c r="L142" s="747">
        <f>N142/M146</f>
        <v>0</v>
      </c>
      <c r="M142" s="759" t="s">
        <v>17</v>
      </c>
      <c r="N142" s="756">
        <f>IF(B142=TRUE,SUM(N70:N141)+N25+N67,0)</f>
        <v>0</v>
      </c>
      <c r="O142" s="679" t="str">
        <f>IF('из города'!$AG$9=3,"Дол.",IF('из города'!$AG$9=1,"Руб.","Грн."))</f>
        <v>Грн.</v>
      </c>
      <c r="P142" s="792"/>
      <c r="Q142" s="792"/>
      <c r="R142" s="792"/>
      <c r="S142" s="792"/>
      <c r="T142" s="434"/>
      <c r="U142" s="755"/>
      <c r="V142"/>
    </row>
    <row r="143" spans="1:22" s="263" customFormat="1" ht="7.5" customHeight="1">
      <c r="A143"/>
      <c r="B143"/>
      <c r="C143" s="751"/>
      <c r="D143" s="752"/>
      <c r="E143" s="752"/>
      <c r="F143" s="752"/>
      <c r="G143" s="752"/>
      <c r="H143" s="752"/>
      <c r="I143" s="259"/>
      <c r="J143" s="259"/>
      <c r="K143" s="704"/>
      <c r="L143" s="747"/>
      <c r="M143" s="704"/>
      <c r="N143" s="757"/>
      <c r="O143" s="679"/>
      <c r="P143" s="792"/>
      <c r="Q143" s="792"/>
      <c r="R143" s="792"/>
      <c r="S143" s="792"/>
      <c r="T143" s="434"/>
      <c r="U143" s="755"/>
      <c r="V143"/>
    </row>
    <row r="144" spans="1:22" ht="7.5" customHeight="1">
      <c r="C144" s="751"/>
      <c r="D144" s="752"/>
      <c r="E144" s="752"/>
      <c r="F144" s="752"/>
      <c r="G144" s="752"/>
      <c r="H144" s="752"/>
      <c r="I144" s="259"/>
      <c r="J144" s="259"/>
      <c r="K144" s="704"/>
      <c r="L144" s="747"/>
      <c r="M144" s="704"/>
      <c r="N144" s="757"/>
      <c r="O144" s="679"/>
      <c r="P144" s="792"/>
      <c r="Q144" s="792"/>
      <c r="R144" s="792"/>
      <c r="S144" s="792"/>
      <c r="T144" s="434"/>
      <c r="U144" s="755"/>
    </row>
    <row r="145" spans="2:21" ht="7.5" customHeight="1" thickBot="1">
      <c r="C145" s="753"/>
      <c r="D145" s="754"/>
      <c r="E145" s="754"/>
      <c r="F145" s="754"/>
      <c r="G145" s="754"/>
      <c r="H145" s="754"/>
      <c r="I145" s="261"/>
      <c r="J145" s="261"/>
      <c r="K145" s="705"/>
      <c r="L145" s="748"/>
      <c r="M145" s="705"/>
      <c r="N145" s="758"/>
      <c r="O145" s="763"/>
      <c r="P145" s="436"/>
      <c r="Q145" s="436"/>
      <c r="R145" s="436"/>
      <c r="S145" s="436"/>
      <c r="T145" s="435">
        <f>N142</f>
        <v>0</v>
      </c>
      <c r="U145" s="755"/>
    </row>
    <row r="146" spans="2:21" ht="7.5" customHeight="1" thickTop="1">
      <c r="C146" s="258"/>
      <c r="D146" s="258"/>
      <c r="E146" s="258"/>
      <c r="F146" s="258"/>
      <c r="G146" s="258"/>
      <c r="H146" s="258"/>
      <c r="I146" s="764" t="s">
        <v>19</v>
      </c>
      <c r="J146" s="764"/>
      <c r="K146" s="764"/>
      <c r="L146" s="766" t="s">
        <v>18</v>
      </c>
      <c r="M146" s="767">
        <f>Главная!X13</f>
        <v>26</v>
      </c>
      <c r="N146" s="262"/>
      <c r="O146" s="430"/>
      <c r="P146" s="174"/>
      <c r="Q146" s="174"/>
      <c r="R146" s="174"/>
      <c r="S146" s="174"/>
    </row>
    <row r="147" spans="2:21" ht="7.5" customHeight="1">
      <c r="C147" s="258"/>
      <c r="D147" s="258"/>
      <c r="E147" s="258"/>
      <c r="F147" s="258"/>
      <c r="G147" s="258"/>
      <c r="H147" s="258"/>
      <c r="I147" s="765"/>
      <c r="J147" s="765"/>
      <c r="K147" s="765"/>
      <c r="L147" s="765"/>
      <c r="M147" s="768"/>
      <c r="N147" s="116"/>
      <c r="O147" s="430"/>
      <c r="P147" s="174"/>
      <c r="Q147" s="174"/>
      <c r="R147" s="174"/>
      <c r="S147" s="174"/>
    </row>
    <row r="148" spans="2:21" ht="7.5" customHeight="1" thickBot="1">
      <c r="C148" s="258"/>
      <c r="D148" s="258"/>
      <c r="E148" s="258"/>
      <c r="F148" s="258"/>
      <c r="G148" s="258"/>
      <c r="H148" s="258"/>
      <c r="I148" s="765"/>
      <c r="J148" s="765"/>
      <c r="K148" s="765"/>
      <c r="L148" s="765"/>
      <c r="M148" s="768"/>
      <c r="N148" s="116"/>
      <c r="O148" s="430"/>
      <c r="P148" s="174"/>
      <c r="Q148" s="174"/>
      <c r="R148" s="174"/>
      <c r="S148" s="174"/>
    </row>
    <row r="149" spans="2:21" ht="10" customHeight="1" thickTop="1">
      <c r="C149" s="697" t="s">
        <v>2718</v>
      </c>
      <c r="D149" s="697"/>
      <c r="E149" s="697"/>
      <c r="F149" s="697"/>
      <c r="G149" s="697"/>
      <c r="H149" s="697"/>
      <c r="I149" s="697"/>
      <c r="J149" s="697"/>
      <c r="K149" s="697"/>
      <c r="L149" s="697"/>
      <c r="M149" s="697"/>
      <c r="N149" s="697"/>
      <c r="O149" s="760"/>
      <c r="P149" s="791"/>
      <c r="Q149" s="791"/>
      <c r="R149" s="791"/>
      <c r="S149" s="791"/>
    </row>
    <row r="150" spans="2:21" ht="10" customHeight="1">
      <c r="C150" s="698"/>
      <c r="D150" s="698"/>
      <c r="E150" s="698"/>
      <c r="F150" s="698"/>
      <c r="G150" s="698"/>
      <c r="H150" s="698"/>
      <c r="I150" s="698"/>
      <c r="J150" s="698"/>
      <c r="K150" s="698"/>
      <c r="L150" s="698"/>
      <c r="M150" s="698"/>
      <c r="N150" s="698"/>
      <c r="O150" s="761"/>
      <c r="P150" s="791"/>
      <c r="Q150" s="791"/>
      <c r="R150" s="791"/>
      <c r="S150" s="791"/>
    </row>
    <row r="151" spans="2:21" ht="10" customHeight="1">
      <c r="C151" s="699"/>
      <c r="D151" s="699"/>
      <c r="E151" s="699"/>
      <c r="F151" s="699"/>
      <c r="G151" s="699"/>
      <c r="H151" s="699"/>
      <c r="I151" s="699"/>
      <c r="J151" s="699"/>
      <c r="K151" s="699"/>
      <c r="L151" s="699"/>
      <c r="M151" s="699"/>
      <c r="N151" s="699"/>
      <c r="O151" s="762"/>
      <c r="P151" s="791"/>
      <c r="Q151" s="791"/>
      <c r="R151" s="791"/>
      <c r="S151" s="791"/>
    </row>
    <row r="152" spans="2:21" ht="9.5" customHeight="1">
      <c r="C152" s="642" t="s">
        <v>2722</v>
      </c>
      <c r="D152" s="718"/>
      <c r="E152" s="718"/>
      <c r="F152" s="718"/>
      <c r="G152" s="718"/>
      <c r="H152" s="718"/>
      <c r="I152" s="719"/>
      <c r="J152" s="684">
        <f>'Район фунд.'!AO34</f>
        <v>14</v>
      </c>
      <c r="K152" s="686" t="s">
        <v>2719</v>
      </c>
      <c r="L152" s="667">
        <v>900</v>
      </c>
      <c r="M152" s="665" t="str">
        <f>IF('из города'!$AG$9=3,"Дол.",IF('из города'!$AG$9=1,"Руб.","Грн."))</f>
        <v>Грн.</v>
      </c>
      <c r="N152" s="663">
        <f>J152*L152</f>
        <v>12600</v>
      </c>
      <c r="O152" s="651" t="str">
        <f>IF('из города'!$AG$9=3,"Дол.",IF('из города'!$AG$9=1,"Руб.","Грн."))</f>
        <v>Грн.</v>
      </c>
      <c r="P152" s="638"/>
      <c r="Q152" s="638"/>
      <c r="R152" s="638"/>
      <c r="S152" s="790"/>
      <c r="T152" s="113">
        <f>N142</f>
        <v>0</v>
      </c>
    </row>
    <row r="153" spans="2:21" ht="9.5" customHeight="1">
      <c r="C153" s="720"/>
      <c r="D153" s="721"/>
      <c r="E153" s="721"/>
      <c r="F153" s="721"/>
      <c r="G153" s="721"/>
      <c r="H153" s="721"/>
      <c r="I153" s="722"/>
      <c r="J153" s="683"/>
      <c r="K153" s="687"/>
      <c r="L153" s="668"/>
      <c r="M153" s="666"/>
      <c r="N153" s="664"/>
      <c r="O153" s="652"/>
      <c r="P153" s="638"/>
      <c r="Q153" s="638"/>
      <c r="R153" s="638"/>
      <c r="S153" s="790"/>
    </row>
    <row r="154" spans="2:21" ht="9.5" customHeight="1">
      <c r="C154" s="723"/>
      <c r="D154" s="724"/>
      <c r="E154" s="724"/>
      <c r="F154" s="724"/>
      <c r="G154" s="724"/>
      <c r="H154" s="724"/>
      <c r="I154" s="725"/>
      <c r="J154" s="685"/>
      <c r="K154" s="688"/>
      <c r="L154" s="689"/>
      <c r="M154" s="681"/>
      <c r="N154" s="682"/>
      <c r="O154" s="690"/>
      <c r="P154" s="638"/>
      <c r="Q154" s="638"/>
      <c r="R154" s="638"/>
      <c r="S154" s="790"/>
    </row>
    <row r="155" spans="2:21" ht="9.5" customHeight="1">
      <c r="C155" s="642" t="s">
        <v>2720</v>
      </c>
      <c r="D155" s="718"/>
      <c r="E155" s="718"/>
      <c r="F155" s="718"/>
      <c r="G155" s="718"/>
      <c r="H155" s="718"/>
      <c r="I155" s="719"/>
      <c r="J155" s="684">
        <v>1</v>
      </c>
      <c r="K155" s="686" t="s">
        <v>2721</v>
      </c>
      <c r="L155" s="667">
        <v>5000</v>
      </c>
      <c r="M155" s="665" t="str">
        <f>IF('из города'!$AG$9=3,"Дол.",IF('из города'!$AG$9=1,"Руб.","Грн."))</f>
        <v>Грн.</v>
      </c>
      <c r="N155" s="663">
        <f>J155*L155</f>
        <v>5000</v>
      </c>
      <c r="O155" s="651" t="str">
        <f>IF('из города'!$AG$9=3,"Дол.",IF('из города'!$AG$9=1,"Руб.","Грн."))</f>
        <v>Грн.</v>
      </c>
      <c r="P155" s="638"/>
      <c r="Q155" s="638"/>
      <c r="R155" s="638"/>
      <c r="S155" s="790"/>
    </row>
    <row r="156" spans="2:21" ht="9.5" customHeight="1">
      <c r="C156" s="720"/>
      <c r="D156" s="721"/>
      <c r="E156" s="721"/>
      <c r="F156" s="721"/>
      <c r="G156" s="721"/>
      <c r="H156" s="721"/>
      <c r="I156" s="722"/>
      <c r="J156" s="664"/>
      <c r="K156" s="687"/>
      <c r="L156" s="668"/>
      <c r="M156" s="666"/>
      <c r="N156" s="664"/>
      <c r="O156" s="652"/>
      <c r="P156" s="638"/>
      <c r="Q156" s="638"/>
      <c r="R156" s="638"/>
      <c r="S156" s="790"/>
    </row>
    <row r="157" spans="2:21" ht="9.5" customHeight="1">
      <c r="C157" s="723"/>
      <c r="D157" s="724"/>
      <c r="E157" s="724"/>
      <c r="F157" s="724"/>
      <c r="G157" s="724"/>
      <c r="H157" s="724"/>
      <c r="I157" s="725"/>
      <c r="J157" s="682"/>
      <c r="K157" s="688"/>
      <c r="L157" s="689"/>
      <c r="M157" s="681"/>
      <c r="N157" s="682"/>
      <c r="O157" s="690"/>
      <c r="P157" s="638"/>
      <c r="Q157" s="638"/>
      <c r="R157" s="638"/>
      <c r="S157" s="790"/>
    </row>
    <row r="158" spans="2:21" ht="10.5" customHeight="1">
      <c r="B158" s="285" t="b">
        <v>0</v>
      </c>
      <c r="C158" s="769" t="s">
        <v>2723</v>
      </c>
      <c r="D158" s="770"/>
      <c r="E158" s="770"/>
      <c r="F158" s="770"/>
      <c r="G158" s="770"/>
      <c r="H158" s="770"/>
      <c r="I158" s="771"/>
      <c r="J158" s="775"/>
      <c r="K158" s="778"/>
      <c r="L158" s="781">
        <f>N158/Главная!O9</f>
        <v>0</v>
      </c>
      <c r="M158" s="778" t="s">
        <v>17</v>
      </c>
      <c r="N158" s="784">
        <f>IF(B158=TRUE,N152+N155,0)</f>
        <v>0</v>
      </c>
      <c r="O158" s="787" t="str">
        <f>IF('из города'!$AG$9=3,"Дол.",IF('из города'!$AG$9=1,"Руб.","Грн."))</f>
        <v>Грн.</v>
      </c>
      <c r="P158" s="292"/>
      <c r="Q158" s="174"/>
      <c r="R158" s="174"/>
      <c r="S158" s="174"/>
    </row>
    <row r="159" spans="2:21" ht="10.5" customHeight="1">
      <c r="C159" s="769"/>
      <c r="D159" s="770"/>
      <c r="E159" s="770"/>
      <c r="F159" s="770"/>
      <c r="G159" s="770"/>
      <c r="H159" s="770"/>
      <c r="I159" s="771"/>
      <c r="J159" s="776"/>
      <c r="K159" s="779"/>
      <c r="L159" s="782"/>
      <c r="M159" s="779"/>
      <c r="N159" s="785"/>
      <c r="O159" s="788"/>
      <c r="P159" s="174"/>
      <c r="Q159" s="174"/>
      <c r="R159" s="174"/>
      <c r="S159" s="174"/>
      <c r="T159" s="425">
        <f>N158</f>
        <v>0</v>
      </c>
    </row>
    <row r="160" spans="2:21" ht="10.5" customHeight="1">
      <c r="C160" s="772"/>
      <c r="D160" s="773"/>
      <c r="E160" s="773"/>
      <c r="F160" s="773"/>
      <c r="G160" s="773"/>
      <c r="H160" s="773"/>
      <c r="I160" s="774"/>
      <c r="J160" s="777"/>
      <c r="K160" s="780"/>
      <c r="L160" s="783"/>
      <c r="M160" s="780"/>
      <c r="N160" s="786"/>
      <c r="O160" s="789"/>
      <c r="P160" s="292"/>
      <c r="Q160" s="174"/>
      <c r="R160" s="174"/>
      <c r="S160" s="174"/>
    </row>
    <row r="161" spans="16:16">
      <c r="P161" s="116"/>
    </row>
    <row r="162" spans="16:16">
      <c r="P162" s="116"/>
    </row>
    <row r="163" spans="16:16">
      <c r="P163" s="116"/>
    </row>
    <row r="164" spans="16:16">
      <c r="P164" s="116"/>
    </row>
    <row r="165" spans="16:16">
      <c r="P165" s="116"/>
    </row>
    <row r="166" spans="16:16">
      <c r="P166" s="116"/>
    </row>
    <row r="167" spans="16:16">
      <c r="P167" s="116"/>
    </row>
    <row r="168" spans="16:16">
      <c r="P168" s="116"/>
    </row>
    <row r="169" spans="16:16">
      <c r="P169" s="116"/>
    </row>
    <row r="170" spans="16:16">
      <c r="P170" s="116"/>
    </row>
    <row r="171" spans="16:16">
      <c r="P171" s="116"/>
    </row>
    <row r="172" spans="16:16">
      <c r="P172" s="116"/>
    </row>
    <row r="173" spans="16:16">
      <c r="P173" s="116"/>
    </row>
    <row r="174" spans="16:16">
      <c r="P174" s="116"/>
    </row>
    <row r="175" spans="16:16">
      <c r="P175" s="116"/>
    </row>
    <row r="176" spans="16:16">
      <c r="P176" s="116"/>
    </row>
    <row r="177" spans="16:16">
      <c r="P177" s="116"/>
    </row>
    <row r="178" spans="16:16">
      <c r="P178" s="116"/>
    </row>
    <row r="179" spans="16:16">
      <c r="P179" s="116"/>
    </row>
    <row r="180" spans="16:16">
      <c r="P180" s="116"/>
    </row>
    <row r="181" spans="16:16">
      <c r="P181" s="116"/>
    </row>
    <row r="182" spans="16:16">
      <c r="P182" s="116"/>
    </row>
    <row r="183" spans="16:16">
      <c r="P183" s="116"/>
    </row>
    <row r="184" spans="16:16">
      <c r="P184" s="116"/>
    </row>
    <row r="185" spans="16:16">
      <c r="P185" s="116"/>
    </row>
    <row r="186" spans="16:16">
      <c r="P186" s="116"/>
    </row>
    <row r="187" spans="16:16">
      <c r="P187" s="116"/>
    </row>
    <row r="188" spans="16:16">
      <c r="P188" s="116"/>
    </row>
    <row r="189" spans="16:16">
      <c r="P189" s="116"/>
    </row>
    <row r="190" spans="16:16">
      <c r="P190" s="116"/>
    </row>
    <row r="191" spans="16:16">
      <c r="P191" s="116"/>
    </row>
    <row r="192" spans="16:16">
      <c r="P192" s="116"/>
    </row>
    <row r="193" spans="16:16">
      <c r="P193" s="116"/>
    </row>
    <row r="194" spans="16:16">
      <c r="P194" s="116"/>
    </row>
    <row r="195" spans="16:16">
      <c r="P195" s="116"/>
    </row>
    <row r="196" spans="16:16">
      <c r="P196" s="116"/>
    </row>
    <row r="197" spans="16:16">
      <c r="P197" s="116"/>
    </row>
    <row r="198" spans="16:16">
      <c r="P198" s="116"/>
    </row>
    <row r="199" spans="16:16">
      <c r="P199" s="116"/>
    </row>
    <row r="200" spans="16:16">
      <c r="P200" s="116"/>
    </row>
    <row r="201" spans="16:16">
      <c r="P201" s="116"/>
    </row>
    <row r="202" spans="16:16">
      <c r="P202" s="116"/>
    </row>
    <row r="203" spans="16:16">
      <c r="P203" s="116"/>
    </row>
    <row r="204" spans="16:16">
      <c r="P204" s="116"/>
    </row>
    <row r="205" spans="16:16">
      <c r="P205" s="116"/>
    </row>
    <row r="206" spans="16:16">
      <c r="P206" s="116"/>
    </row>
    <row r="207" spans="16:16">
      <c r="P207" s="116"/>
    </row>
    <row r="208" spans="16:16">
      <c r="P208" s="116"/>
    </row>
    <row r="209" spans="16:16">
      <c r="P209" s="116"/>
    </row>
    <row r="210" spans="16:16">
      <c r="P210" s="116"/>
    </row>
    <row r="211" spans="16:16">
      <c r="P211" s="116"/>
    </row>
    <row r="212" spans="16:16">
      <c r="P212" s="116"/>
    </row>
    <row r="213" spans="16:16">
      <c r="P213" s="116"/>
    </row>
    <row r="214" spans="16:16">
      <c r="P214" s="116"/>
    </row>
    <row r="215" spans="16:16">
      <c r="P215" s="116"/>
    </row>
    <row r="216" spans="16:16">
      <c r="P216" s="116"/>
    </row>
    <row r="217" spans="16:16">
      <c r="P217" s="116"/>
    </row>
    <row r="218" spans="16:16">
      <c r="P218" s="116"/>
    </row>
    <row r="219" spans="16:16">
      <c r="P219" s="116"/>
    </row>
    <row r="220" spans="16:16">
      <c r="P220" s="116"/>
    </row>
    <row r="221" spans="16:16">
      <c r="P221" s="116"/>
    </row>
    <row r="222" spans="16:16">
      <c r="P222" s="116"/>
    </row>
    <row r="223" spans="16:16">
      <c r="P223" s="116"/>
    </row>
    <row r="224" spans="16:16">
      <c r="P224" s="116"/>
    </row>
    <row r="225" spans="16:16">
      <c r="P225" s="116"/>
    </row>
    <row r="226" spans="16:16">
      <c r="P226" s="116"/>
    </row>
    <row r="227" spans="16:16">
      <c r="P227" s="116"/>
    </row>
    <row r="228" spans="16:16">
      <c r="P228" s="116"/>
    </row>
    <row r="229" spans="16:16">
      <c r="P229" s="116"/>
    </row>
    <row r="230" spans="16:16">
      <c r="P230" s="116"/>
    </row>
    <row r="231" spans="16:16">
      <c r="P231" s="116"/>
    </row>
    <row r="232" spans="16:16">
      <c r="P232" s="116"/>
    </row>
    <row r="233" spans="16:16">
      <c r="P233" s="116"/>
    </row>
    <row r="234" spans="16:16">
      <c r="P234" s="116"/>
    </row>
    <row r="235" spans="16:16">
      <c r="P235" s="116"/>
    </row>
    <row r="236" spans="16:16">
      <c r="P236" s="116"/>
    </row>
    <row r="237" spans="16:16">
      <c r="P237" s="116"/>
    </row>
    <row r="238" spans="16:16">
      <c r="P238" s="116"/>
    </row>
    <row r="239" spans="16:16">
      <c r="P239" s="116"/>
    </row>
    <row r="240" spans="16:16">
      <c r="P240" s="116"/>
    </row>
    <row r="241" spans="16:16">
      <c r="P241" s="116"/>
    </row>
    <row r="242" spans="16:16">
      <c r="P242" s="116"/>
    </row>
    <row r="243" spans="16:16">
      <c r="P243" s="116"/>
    </row>
    <row r="244" spans="16:16">
      <c r="P244" s="116"/>
    </row>
    <row r="245" spans="16:16">
      <c r="P245" s="116"/>
    </row>
    <row r="246" spans="16:16">
      <c r="P246" s="116"/>
    </row>
    <row r="247" spans="16:16">
      <c r="P247" s="116"/>
    </row>
    <row r="248" spans="16:16">
      <c r="P248" s="116"/>
    </row>
    <row r="249" spans="16:16">
      <c r="P249" s="116"/>
    </row>
    <row r="250" spans="16:16">
      <c r="P250" s="116"/>
    </row>
    <row r="251" spans="16:16">
      <c r="P251" s="116"/>
    </row>
    <row r="252" spans="16:16">
      <c r="P252" s="116"/>
    </row>
    <row r="253" spans="16:16">
      <c r="P253" s="116"/>
    </row>
    <row r="254" spans="16:16">
      <c r="P254" s="116"/>
    </row>
    <row r="255" spans="16:16">
      <c r="P255" s="116"/>
    </row>
    <row r="256" spans="16:16">
      <c r="P256" s="116"/>
    </row>
    <row r="257" spans="16:16">
      <c r="P257" s="116"/>
    </row>
    <row r="258" spans="16:16">
      <c r="P258" s="116"/>
    </row>
    <row r="259" spans="16:16">
      <c r="P259" s="116"/>
    </row>
    <row r="260" spans="16:16">
      <c r="P260" s="116"/>
    </row>
    <row r="261" spans="16:16">
      <c r="P261" s="116"/>
    </row>
    <row r="262" spans="16:16">
      <c r="P262" s="116"/>
    </row>
    <row r="263" spans="16:16">
      <c r="P263" s="116"/>
    </row>
  </sheetData>
  <sheetProtection password="C665" sheet="1" selectLockedCells="1"/>
  <mergeCells count="609">
    <mergeCell ref="Q155:Q157"/>
    <mergeCell ref="S155:S157"/>
    <mergeCell ref="Q152:Q154"/>
    <mergeCell ref="S152:S154"/>
    <mergeCell ref="P2:S3"/>
    <mergeCell ref="P142:P144"/>
    <mergeCell ref="Q142:Q144"/>
    <mergeCell ref="R142:R144"/>
    <mergeCell ref="S142:S144"/>
    <mergeCell ref="P149:Q151"/>
    <mergeCell ref="P130:P132"/>
    <mergeCell ref="Q130:Q132"/>
    <mergeCell ref="R130:R132"/>
    <mergeCell ref="S130:S132"/>
    <mergeCell ref="P133:P135"/>
    <mergeCell ref="Q133:Q135"/>
    <mergeCell ref="R133:R135"/>
    <mergeCell ref="S133:S135"/>
    <mergeCell ref="R149:S151"/>
    <mergeCell ref="P136:P138"/>
    <mergeCell ref="Q136:Q138"/>
    <mergeCell ref="R136:R138"/>
    <mergeCell ref="S136:S138"/>
    <mergeCell ref="P139:P141"/>
    <mergeCell ref="Q139:Q141"/>
    <mergeCell ref="R139:R141"/>
    <mergeCell ref="S139:S141"/>
    <mergeCell ref="P121:P123"/>
    <mergeCell ref="Q121:Q123"/>
    <mergeCell ref="R121:R123"/>
    <mergeCell ref="S121:S123"/>
    <mergeCell ref="P124:P126"/>
    <mergeCell ref="Q124:Q126"/>
    <mergeCell ref="R124:R126"/>
    <mergeCell ref="S124:S126"/>
    <mergeCell ref="P127:P129"/>
    <mergeCell ref="Q127:Q129"/>
    <mergeCell ref="R127:R129"/>
    <mergeCell ref="S127:S129"/>
    <mergeCell ref="P112:P114"/>
    <mergeCell ref="Q112:Q114"/>
    <mergeCell ref="R112:R114"/>
    <mergeCell ref="S112:S114"/>
    <mergeCell ref="P115:P117"/>
    <mergeCell ref="Q115:Q117"/>
    <mergeCell ref="R115:R117"/>
    <mergeCell ref="S115:S117"/>
    <mergeCell ref="P118:P120"/>
    <mergeCell ref="Q118:Q120"/>
    <mergeCell ref="R118:R120"/>
    <mergeCell ref="S118:S120"/>
    <mergeCell ref="P103:P105"/>
    <mergeCell ref="Q103:Q105"/>
    <mergeCell ref="R103:R105"/>
    <mergeCell ref="S103:S105"/>
    <mergeCell ref="P106:P108"/>
    <mergeCell ref="Q106:Q108"/>
    <mergeCell ref="R106:R108"/>
    <mergeCell ref="S106:S108"/>
    <mergeCell ref="P109:P111"/>
    <mergeCell ref="Q109:Q111"/>
    <mergeCell ref="R109:R111"/>
    <mergeCell ref="S109:S111"/>
    <mergeCell ref="P94:P96"/>
    <mergeCell ref="Q94:Q96"/>
    <mergeCell ref="R94:R96"/>
    <mergeCell ref="S94:S96"/>
    <mergeCell ref="P97:P99"/>
    <mergeCell ref="Q97:Q99"/>
    <mergeCell ref="R97:R99"/>
    <mergeCell ref="S97:S99"/>
    <mergeCell ref="P100:P102"/>
    <mergeCell ref="Q100:Q102"/>
    <mergeCell ref="R100:R102"/>
    <mergeCell ref="S100:S102"/>
    <mergeCell ref="P85:P87"/>
    <mergeCell ref="Q85:Q87"/>
    <mergeCell ref="R85:R87"/>
    <mergeCell ref="S85:S87"/>
    <mergeCell ref="P88:P90"/>
    <mergeCell ref="Q88:Q90"/>
    <mergeCell ref="R88:R90"/>
    <mergeCell ref="S88:S90"/>
    <mergeCell ref="P91:P93"/>
    <mergeCell ref="Q91:Q93"/>
    <mergeCell ref="R91:R93"/>
    <mergeCell ref="S91:S93"/>
    <mergeCell ref="P76:P78"/>
    <mergeCell ref="Q76:Q78"/>
    <mergeCell ref="R76:R78"/>
    <mergeCell ref="S76:S78"/>
    <mergeCell ref="P79:P81"/>
    <mergeCell ref="Q79:Q81"/>
    <mergeCell ref="R79:R81"/>
    <mergeCell ref="S79:S81"/>
    <mergeCell ref="P82:P84"/>
    <mergeCell ref="Q82:Q84"/>
    <mergeCell ref="R82:R84"/>
    <mergeCell ref="S82:S84"/>
    <mergeCell ref="R67:R69"/>
    <mergeCell ref="S67:S69"/>
    <mergeCell ref="P70:P72"/>
    <mergeCell ref="Q70:Q72"/>
    <mergeCell ref="R70:R72"/>
    <mergeCell ref="S70:S72"/>
    <mergeCell ref="P73:P75"/>
    <mergeCell ref="Q73:Q75"/>
    <mergeCell ref="R73:R75"/>
    <mergeCell ref="S73:S75"/>
    <mergeCell ref="P58:P60"/>
    <mergeCell ref="Q58:Q60"/>
    <mergeCell ref="R58:R60"/>
    <mergeCell ref="S58:S60"/>
    <mergeCell ref="P61:P63"/>
    <mergeCell ref="Q61:Q63"/>
    <mergeCell ref="R61:R63"/>
    <mergeCell ref="S61:S63"/>
    <mergeCell ref="P64:P66"/>
    <mergeCell ref="Q64:Q66"/>
    <mergeCell ref="R64:R66"/>
    <mergeCell ref="S64:S66"/>
    <mergeCell ref="P49:P51"/>
    <mergeCell ref="Q49:Q51"/>
    <mergeCell ref="R49:R51"/>
    <mergeCell ref="S49:S51"/>
    <mergeCell ref="P52:P54"/>
    <mergeCell ref="Q52:Q54"/>
    <mergeCell ref="R52:R54"/>
    <mergeCell ref="S52:S54"/>
    <mergeCell ref="P55:P57"/>
    <mergeCell ref="Q55:Q57"/>
    <mergeCell ref="R55:R57"/>
    <mergeCell ref="S55:S57"/>
    <mergeCell ref="P40:P42"/>
    <mergeCell ref="Q40:Q42"/>
    <mergeCell ref="R40:R42"/>
    <mergeCell ref="S40:S42"/>
    <mergeCell ref="P43:P45"/>
    <mergeCell ref="Q43:Q45"/>
    <mergeCell ref="R43:R45"/>
    <mergeCell ref="S43:S45"/>
    <mergeCell ref="P46:P48"/>
    <mergeCell ref="Q46:Q48"/>
    <mergeCell ref="R46:R48"/>
    <mergeCell ref="S46:S48"/>
    <mergeCell ref="P31:P33"/>
    <mergeCell ref="Q31:Q33"/>
    <mergeCell ref="R31:R33"/>
    <mergeCell ref="S31:S33"/>
    <mergeCell ref="P34:P36"/>
    <mergeCell ref="Q34:Q36"/>
    <mergeCell ref="R34:R36"/>
    <mergeCell ref="S34:S36"/>
    <mergeCell ref="P37:P39"/>
    <mergeCell ref="Q37:Q39"/>
    <mergeCell ref="R37:R39"/>
    <mergeCell ref="S37:S39"/>
    <mergeCell ref="P22:P24"/>
    <mergeCell ref="Q22:Q24"/>
    <mergeCell ref="R22:R24"/>
    <mergeCell ref="S22:S24"/>
    <mergeCell ref="P25:P27"/>
    <mergeCell ref="Q25:Q27"/>
    <mergeCell ref="R25:R27"/>
    <mergeCell ref="S25:S27"/>
    <mergeCell ref="P28:P30"/>
    <mergeCell ref="Q28:Q30"/>
    <mergeCell ref="R28:R30"/>
    <mergeCell ref="S28:S30"/>
    <mergeCell ref="P13:P15"/>
    <mergeCell ref="Q13:Q15"/>
    <mergeCell ref="R13:R15"/>
    <mergeCell ref="S13:S15"/>
    <mergeCell ref="P16:P18"/>
    <mergeCell ref="Q16:Q18"/>
    <mergeCell ref="R16:R18"/>
    <mergeCell ref="S16:S18"/>
    <mergeCell ref="P19:P21"/>
    <mergeCell ref="Q19:Q21"/>
    <mergeCell ref="R19:R21"/>
    <mergeCell ref="S19:S21"/>
    <mergeCell ref="P7:P9"/>
    <mergeCell ref="Q7:Q9"/>
    <mergeCell ref="R7:R9"/>
    <mergeCell ref="S7:S9"/>
    <mergeCell ref="P4:Q6"/>
    <mergeCell ref="R4:S6"/>
    <mergeCell ref="P10:P12"/>
    <mergeCell ref="Q10:Q12"/>
    <mergeCell ref="R10:R12"/>
    <mergeCell ref="S10:S12"/>
    <mergeCell ref="O155:O157"/>
    <mergeCell ref="C158:I160"/>
    <mergeCell ref="J158:J160"/>
    <mergeCell ref="K158:K160"/>
    <mergeCell ref="L158:L160"/>
    <mergeCell ref="M158:M160"/>
    <mergeCell ref="N158:N160"/>
    <mergeCell ref="O158:O160"/>
    <mergeCell ref="C155:I157"/>
    <mergeCell ref="J155:J157"/>
    <mergeCell ref="K155:K157"/>
    <mergeCell ref="L155:L157"/>
    <mergeCell ref="M155:M157"/>
    <mergeCell ref="N155:N157"/>
    <mergeCell ref="C152:I154"/>
    <mergeCell ref="J152:J154"/>
    <mergeCell ref="K152:K154"/>
    <mergeCell ref="L152:L154"/>
    <mergeCell ref="M152:M154"/>
    <mergeCell ref="N152:N154"/>
    <mergeCell ref="O152:O154"/>
    <mergeCell ref="N108:N109"/>
    <mergeCell ref="O108:O109"/>
    <mergeCell ref="I146:K148"/>
    <mergeCell ref="L146:L148"/>
    <mergeCell ref="M146:M148"/>
    <mergeCell ref="N112:N113"/>
    <mergeCell ref="O114:O115"/>
    <mergeCell ref="N110:N111"/>
    <mergeCell ref="O110:O111"/>
    <mergeCell ref="N116:N117"/>
    <mergeCell ref="O118:O119"/>
    <mergeCell ref="O116:O117"/>
    <mergeCell ref="L114:L115"/>
    <mergeCell ref="M114:M115"/>
    <mergeCell ref="N114:N115"/>
    <mergeCell ref="O122:O123"/>
    <mergeCell ref="L124:L125"/>
    <mergeCell ref="C149:O151"/>
    <mergeCell ref="N96:N97"/>
    <mergeCell ref="O96:O97"/>
    <mergeCell ref="L106:L107"/>
    <mergeCell ref="M106:M107"/>
    <mergeCell ref="N100:N101"/>
    <mergeCell ref="J102:J103"/>
    <mergeCell ref="K102:K103"/>
    <mergeCell ref="L102:L103"/>
    <mergeCell ref="M102:M103"/>
    <mergeCell ref="N102:N103"/>
    <mergeCell ref="O102:O103"/>
    <mergeCell ref="J104:J105"/>
    <mergeCell ref="K104:K105"/>
    <mergeCell ref="N106:N107"/>
    <mergeCell ref="J106:J107"/>
    <mergeCell ref="K106:K107"/>
    <mergeCell ref="O142:O145"/>
    <mergeCell ref="O61:O63"/>
    <mergeCell ref="M88:M89"/>
    <mergeCell ref="O100:O101"/>
    <mergeCell ref="K98:K99"/>
    <mergeCell ref="L98:L99"/>
    <mergeCell ref="M98:M99"/>
    <mergeCell ref="N98:N99"/>
    <mergeCell ref="O98:O99"/>
    <mergeCell ref="M142:M145"/>
    <mergeCell ref="N88:N89"/>
    <mergeCell ref="O88:O89"/>
    <mergeCell ref="O85:O87"/>
    <mergeCell ref="N79:N81"/>
    <mergeCell ref="M82:M84"/>
    <mergeCell ref="M79:M81"/>
    <mergeCell ref="O79:O81"/>
    <mergeCell ref="O82:O84"/>
    <mergeCell ref="N85:N87"/>
    <mergeCell ref="N82:N84"/>
    <mergeCell ref="N90:N91"/>
    <mergeCell ref="O90:O91"/>
    <mergeCell ref="K92:K93"/>
    <mergeCell ref="L92:L93"/>
    <mergeCell ref="M92:M93"/>
    <mergeCell ref="M100:M101"/>
    <mergeCell ref="C94:I95"/>
    <mergeCell ref="U142:U145"/>
    <mergeCell ref="L96:L97"/>
    <mergeCell ref="O106:O107"/>
    <mergeCell ref="M96:M97"/>
    <mergeCell ref="N142:N145"/>
    <mergeCell ref="O94:O95"/>
    <mergeCell ref="O64:O66"/>
    <mergeCell ref="L88:L89"/>
    <mergeCell ref="N92:N93"/>
    <mergeCell ref="O92:O93"/>
    <mergeCell ref="K94:K95"/>
    <mergeCell ref="L94:L95"/>
    <mergeCell ref="M94:M95"/>
    <mergeCell ref="N94:N95"/>
    <mergeCell ref="C104:I105"/>
    <mergeCell ref="L104:L105"/>
    <mergeCell ref="M104:M105"/>
    <mergeCell ref="N104:N105"/>
    <mergeCell ref="O104:O105"/>
    <mergeCell ref="C108:I109"/>
    <mergeCell ref="P67:P69"/>
    <mergeCell ref="Q67:Q69"/>
    <mergeCell ref="C98:I99"/>
    <mergeCell ref="J96:J97"/>
    <mergeCell ref="K96:K97"/>
    <mergeCell ref="C96:I97"/>
    <mergeCell ref="C142:H145"/>
    <mergeCell ref="C102:I103"/>
    <mergeCell ref="C106:I107"/>
    <mergeCell ref="J90:J91"/>
    <mergeCell ref="J110:J111"/>
    <mergeCell ref="K100:K101"/>
    <mergeCell ref="C116:I117"/>
    <mergeCell ref="C110:I111"/>
    <mergeCell ref="C100:I101"/>
    <mergeCell ref="C120:I121"/>
    <mergeCell ref="C114:I115"/>
    <mergeCell ref="C124:I125"/>
    <mergeCell ref="J124:J125"/>
    <mergeCell ref="K124:K125"/>
    <mergeCell ref="K136:K137"/>
    <mergeCell ref="L100:L101"/>
    <mergeCell ref="K90:K91"/>
    <mergeCell ref="L90:L91"/>
    <mergeCell ref="M90:M91"/>
    <mergeCell ref="J108:J109"/>
    <mergeCell ref="K108:K109"/>
    <mergeCell ref="L108:L109"/>
    <mergeCell ref="M108:M109"/>
    <mergeCell ref="L142:L145"/>
    <mergeCell ref="J94:J95"/>
    <mergeCell ref="J116:J117"/>
    <mergeCell ref="J98:J99"/>
    <mergeCell ref="J100:J101"/>
    <mergeCell ref="K118:K119"/>
    <mergeCell ref="L118:L119"/>
    <mergeCell ref="M118:M119"/>
    <mergeCell ref="L112:L113"/>
    <mergeCell ref="M112:M113"/>
    <mergeCell ref="M110:M111"/>
    <mergeCell ref="K116:K117"/>
    <mergeCell ref="L116:L117"/>
    <mergeCell ref="M116:M117"/>
    <mergeCell ref="J114:J115"/>
    <mergeCell ref="K114:K115"/>
    <mergeCell ref="K88:K89"/>
    <mergeCell ref="C88:I89"/>
    <mergeCell ref="C90:I91"/>
    <mergeCell ref="C92:I93"/>
    <mergeCell ref="J82:J84"/>
    <mergeCell ref="J88:J89"/>
    <mergeCell ref="C76:I78"/>
    <mergeCell ref="C79:I81"/>
    <mergeCell ref="C82:I84"/>
    <mergeCell ref="C85:I87"/>
    <mergeCell ref="J85:J87"/>
    <mergeCell ref="J92:J93"/>
    <mergeCell ref="J76:J78"/>
    <mergeCell ref="J79:J81"/>
    <mergeCell ref="C64:I66"/>
    <mergeCell ref="C34:I36"/>
    <mergeCell ref="J34:J36"/>
    <mergeCell ref="J19:J21"/>
    <mergeCell ref="J22:J24"/>
    <mergeCell ref="J43:J45"/>
    <mergeCell ref="C43:I45"/>
    <mergeCell ref="C52:I54"/>
    <mergeCell ref="J52:J54"/>
    <mergeCell ref="J28:J30"/>
    <mergeCell ref="J49:J51"/>
    <mergeCell ref="C46:I48"/>
    <mergeCell ref="J46:J48"/>
    <mergeCell ref="C58:I60"/>
    <mergeCell ref="C55:I57"/>
    <mergeCell ref="J55:J57"/>
    <mergeCell ref="L1:M1"/>
    <mergeCell ref="C2:O3"/>
    <mergeCell ref="L4:M6"/>
    <mergeCell ref="N4:O6"/>
    <mergeCell ref="J4:K6"/>
    <mergeCell ref="C4:I6"/>
    <mergeCell ref="C31:I33"/>
    <mergeCell ref="O7:O9"/>
    <mergeCell ref="O10:O12"/>
    <mergeCell ref="O13:O15"/>
    <mergeCell ref="J10:J12"/>
    <mergeCell ref="J13:J15"/>
    <mergeCell ref="J16:J18"/>
    <mergeCell ref="N19:N21"/>
    <mergeCell ref="O19:O21"/>
    <mergeCell ref="C7:E9"/>
    <mergeCell ref="F7:F9"/>
    <mergeCell ref="G7:G9"/>
    <mergeCell ref="C10:E12"/>
    <mergeCell ref="F10:F12"/>
    <mergeCell ref="G10:G12"/>
    <mergeCell ref="O16:O18"/>
    <mergeCell ref="M19:M21"/>
    <mergeCell ref="L19:L21"/>
    <mergeCell ref="O40:O42"/>
    <mergeCell ref="O22:O24"/>
    <mergeCell ref="K70:K72"/>
    <mergeCell ref="L70:L72"/>
    <mergeCell ref="M70:M72"/>
    <mergeCell ref="N70:N72"/>
    <mergeCell ref="O70:O72"/>
    <mergeCell ref="N55:N57"/>
    <mergeCell ref="O28:O30"/>
    <mergeCell ref="O46:O48"/>
    <mergeCell ref="M43:M45"/>
    <mergeCell ref="L43:L45"/>
    <mergeCell ref="O49:O51"/>
    <mergeCell ref="O52:O54"/>
    <mergeCell ref="N34:N36"/>
    <mergeCell ref="O34:O36"/>
    <mergeCell ref="K34:K36"/>
    <mergeCell ref="L34:L36"/>
    <mergeCell ref="M34:M36"/>
    <mergeCell ref="L46:L48"/>
    <mergeCell ref="M46:M48"/>
    <mergeCell ref="N52:N54"/>
    <mergeCell ref="N46:N48"/>
    <mergeCell ref="O25:O27"/>
    <mergeCell ref="O73:O75"/>
    <mergeCell ref="N76:N78"/>
    <mergeCell ref="O76:O78"/>
    <mergeCell ref="O43:O45"/>
    <mergeCell ref="N43:N45"/>
    <mergeCell ref="K19:K21"/>
    <mergeCell ref="K49:K51"/>
    <mergeCell ref="M22:M24"/>
    <mergeCell ref="M76:M78"/>
    <mergeCell ref="L22:L24"/>
    <mergeCell ref="O31:O33"/>
    <mergeCell ref="M58:M60"/>
    <mergeCell ref="M61:M63"/>
    <mergeCell ref="K52:K54"/>
    <mergeCell ref="O58:O60"/>
    <mergeCell ref="K31:K33"/>
    <mergeCell ref="L31:L33"/>
    <mergeCell ref="O55:O57"/>
    <mergeCell ref="K43:K45"/>
    <mergeCell ref="N58:N60"/>
    <mergeCell ref="K76:K78"/>
    <mergeCell ref="L76:L78"/>
    <mergeCell ref="N49:N51"/>
    <mergeCell ref="L52:L54"/>
    <mergeCell ref="L79:L81"/>
    <mergeCell ref="M73:M75"/>
    <mergeCell ref="K82:K84"/>
    <mergeCell ref="L82:L84"/>
    <mergeCell ref="L58:L60"/>
    <mergeCell ref="K143:K145"/>
    <mergeCell ref="L49:L51"/>
    <mergeCell ref="M49:M51"/>
    <mergeCell ref="K110:K111"/>
    <mergeCell ref="L110:L111"/>
    <mergeCell ref="K58:K60"/>
    <mergeCell ref="K61:K63"/>
    <mergeCell ref="L61:L63"/>
    <mergeCell ref="K73:K75"/>
    <mergeCell ref="K85:K87"/>
    <mergeCell ref="L85:L87"/>
    <mergeCell ref="M85:M87"/>
    <mergeCell ref="K79:K81"/>
    <mergeCell ref="C67:M69"/>
    <mergeCell ref="L73:L75"/>
    <mergeCell ref="C70:I72"/>
    <mergeCell ref="C112:I113"/>
    <mergeCell ref="J112:J113"/>
    <mergeCell ref="K112:K113"/>
    <mergeCell ref="C73:I75"/>
    <mergeCell ref="J40:J42"/>
    <mergeCell ref="K7:K9"/>
    <mergeCell ref="L7:L9"/>
    <mergeCell ref="N25:N27"/>
    <mergeCell ref="C37:I39"/>
    <mergeCell ref="L16:L18"/>
    <mergeCell ref="M16:M18"/>
    <mergeCell ref="N22:N24"/>
    <mergeCell ref="N16:N18"/>
    <mergeCell ref="K40:K42"/>
    <mergeCell ref="L40:L42"/>
    <mergeCell ref="M40:M42"/>
    <mergeCell ref="K28:K30"/>
    <mergeCell ref="L28:L30"/>
    <mergeCell ref="M28:M30"/>
    <mergeCell ref="N28:N30"/>
    <mergeCell ref="N31:N33"/>
    <mergeCell ref="M31:M33"/>
    <mergeCell ref="J70:J72"/>
    <mergeCell ref="J73:J75"/>
    <mergeCell ref="J31:J33"/>
    <mergeCell ref="C13:I15"/>
    <mergeCell ref="C16:I18"/>
    <mergeCell ref="N7:N9"/>
    <mergeCell ref="N40:N42"/>
    <mergeCell ref="C61:I63"/>
    <mergeCell ref="J61:J63"/>
    <mergeCell ref="N61:N63"/>
    <mergeCell ref="K10:K12"/>
    <mergeCell ref="L10:L12"/>
    <mergeCell ref="K22:K24"/>
    <mergeCell ref="C25:M27"/>
    <mergeCell ref="C19:I21"/>
    <mergeCell ref="K13:K15"/>
    <mergeCell ref="L13:L15"/>
    <mergeCell ref="C40:I42"/>
    <mergeCell ref="C22:I24"/>
    <mergeCell ref="C28:I30"/>
    <mergeCell ref="K55:K57"/>
    <mergeCell ref="L55:L57"/>
    <mergeCell ref="M55:M57"/>
    <mergeCell ref="O67:O69"/>
    <mergeCell ref="O112:O113"/>
    <mergeCell ref="M10:M12"/>
    <mergeCell ref="N10:N12"/>
    <mergeCell ref="J7:J9"/>
    <mergeCell ref="J64:J66"/>
    <mergeCell ref="K64:K66"/>
    <mergeCell ref="L64:L66"/>
    <mergeCell ref="M64:M66"/>
    <mergeCell ref="N64:N66"/>
    <mergeCell ref="O37:O39"/>
    <mergeCell ref="N67:N69"/>
    <mergeCell ref="J37:J39"/>
    <mergeCell ref="K37:K39"/>
    <mergeCell ref="L37:L39"/>
    <mergeCell ref="M37:M39"/>
    <mergeCell ref="N37:N39"/>
    <mergeCell ref="M52:M54"/>
    <mergeCell ref="K46:K48"/>
    <mergeCell ref="M13:M15"/>
    <mergeCell ref="N13:N15"/>
    <mergeCell ref="N73:N75"/>
    <mergeCell ref="K16:K18"/>
    <mergeCell ref="M7:M9"/>
    <mergeCell ref="M124:M125"/>
    <mergeCell ref="C118:I119"/>
    <mergeCell ref="J118:J119"/>
    <mergeCell ref="N124:N125"/>
    <mergeCell ref="O124:O125"/>
    <mergeCell ref="C122:I123"/>
    <mergeCell ref="J122:J123"/>
    <mergeCell ref="K122:K123"/>
    <mergeCell ref="L122:L123"/>
    <mergeCell ref="M122:M123"/>
    <mergeCell ref="N122:N123"/>
    <mergeCell ref="J120:J121"/>
    <mergeCell ref="K120:K121"/>
    <mergeCell ref="L120:L121"/>
    <mergeCell ref="M120:M121"/>
    <mergeCell ref="N120:N121"/>
    <mergeCell ref="O120:O121"/>
    <mergeCell ref="N118:N119"/>
    <mergeCell ref="O126:O127"/>
    <mergeCell ref="O128:O129"/>
    <mergeCell ref="O130:O131"/>
    <mergeCell ref="C128:I129"/>
    <mergeCell ref="J128:J129"/>
    <mergeCell ref="K128:K129"/>
    <mergeCell ref="L128:L129"/>
    <mergeCell ref="M128:M129"/>
    <mergeCell ref="N128:N129"/>
    <mergeCell ref="C126:I127"/>
    <mergeCell ref="J126:J127"/>
    <mergeCell ref="K126:K127"/>
    <mergeCell ref="L126:L127"/>
    <mergeCell ref="M126:M127"/>
    <mergeCell ref="N126:N127"/>
    <mergeCell ref="O134:O135"/>
    <mergeCell ref="C132:I133"/>
    <mergeCell ref="K132:K133"/>
    <mergeCell ref="L132:L133"/>
    <mergeCell ref="M132:M133"/>
    <mergeCell ref="N132:N133"/>
    <mergeCell ref="O132:O133"/>
    <mergeCell ref="C134:I135"/>
    <mergeCell ref="J134:J135"/>
    <mergeCell ref="L136:L137"/>
    <mergeCell ref="M136:M137"/>
    <mergeCell ref="J130:J131"/>
    <mergeCell ref="K130:K131"/>
    <mergeCell ref="L130:L131"/>
    <mergeCell ref="N136:N137"/>
    <mergeCell ref="K134:K135"/>
    <mergeCell ref="L134:L135"/>
    <mergeCell ref="M134:M135"/>
    <mergeCell ref="N134:N135"/>
    <mergeCell ref="J132:J133"/>
    <mergeCell ref="M130:M131"/>
    <mergeCell ref="N130:N131"/>
    <mergeCell ref="P152:P154"/>
    <mergeCell ref="R152:R154"/>
    <mergeCell ref="P155:P157"/>
    <mergeCell ref="R155:R157"/>
    <mergeCell ref="J58:J60"/>
    <mergeCell ref="C49:I51"/>
    <mergeCell ref="O140:O141"/>
    <mergeCell ref="C140:I141"/>
    <mergeCell ref="J140:J141"/>
    <mergeCell ref="K140:K141"/>
    <mergeCell ref="N140:N141"/>
    <mergeCell ref="C136:I137"/>
    <mergeCell ref="J136:J137"/>
    <mergeCell ref="O136:O137"/>
    <mergeCell ref="M138:M139"/>
    <mergeCell ref="N138:N139"/>
    <mergeCell ref="O138:O139"/>
    <mergeCell ref="C138:I139"/>
    <mergeCell ref="J138:J139"/>
    <mergeCell ref="K138:K139"/>
    <mergeCell ref="L138:L139"/>
    <mergeCell ref="L140:L141"/>
    <mergeCell ref="M140:M141"/>
    <mergeCell ref="C130:I131"/>
  </mergeCells>
  <hyperlinks>
    <hyperlink ref="C128:I129" r:id="rId1" display="Нивелир лазерный или водный уровень"/>
    <hyperlink ref="F1" location="Купол!A1" display="Купол"/>
    <hyperlink ref="G1" location="козырёк!A1" display="Козырьки"/>
    <hyperlink ref="I1" location="'Стены 1'!A1" display="Стены 1"/>
    <hyperlink ref="J1" location="Перекрытие2!A1" display="Перекрытие 2"/>
    <hyperlink ref="K1" location="Стены2!A1" display="Стены 2"/>
    <hyperlink ref="L1" location="Башня!A1" display="Обзорная башня"/>
    <hyperlink ref="O1" location="Доставка!A1" display="Окна"/>
    <hyperlink ref="E1" location="'Смета фунд.'!A1" display="Смета фундамента"/>
    <hyperlink ref="N1" location="Окна!A1" display="Окна"/>
    <hyperlink ref="C1" location="Главная!A1" display="Главная"/>
    <hyperlink ref="H1" location="'Перекрытия 1'!A1" display="Перекр.1"/>
    <hyperlink ref="D1" location="'Район фунд.'!A1" display="Район фундамента"/>
  </hyperlinks>
  <pageMargins left="0.7" right="0.7" top="0.75" bottom="0.75" header="0.3" footer="0.3"/>
  <pageSetup paperSize="9" orientation="portrait" horizontalDpi="180" verticalDpi="180"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/>
  <dimension ref="C1:R262"/>
  <sheetViews>
    <sheetView showGridLines="0" showRowColHeaders="0" workbookViewId="0">
      <pane ySplit="1" topLeftCell="A2" activePane="bottomLeft" state="frozen"/>
      <selection pane="bottomLeft" activeCell="P1" sqref="P1"/>
    </sheetView>
  </sheetViews>
  <sheetFormatPr defaultRowHeight="14.5"/>
  <cols>
    <col min="1" max="2" width="2.54296875" customWidth="1"/>
    <col min="3" max="3" width="2" customWidth="1"/>
    <col min="4" max="16" width="9.90625" customWidth="1"/>
  </cols>
  <sheetData>
    <row r="1" spans="3:16" ht="21.5" customHeight="1" thickTop="1" thickBot="1">
      <c r="D1" s="204" t="s">
        <v>2612</v>
      </c>
      <c r="E1" s="278" t="s">
        <v>2682</v>
      </c>
      <c r="F1" s="278" t="s">
        <v>2662</v>
      </c>
      <c r="G1" s="323" t="s">
        <v>2603</v>
      </c>
      <c r="H1" s="429" t="s">
        <v>2604</v>
      </c>
      <c r="I1" s="278" t="s">
        <v>2613</v>
      </c>
      <c r="J1" s="204" t="s">
        <v>2607</v>
      </c>
      <c r="K1" s="278" t="s">
        <v>2614</v>
      </c>
      <c r="L1" s="278" t="s">
        <v>2608</v>
      </c>
      <c r="M1" s="519" t="s">
        <v>2605</v>
      </c>
      <c r="N1" s="520"/>
      <c r="O1" s="278" t="s">
        <v>2606</v>
      </c>
      <c r="P1" s="278" t="s">
        <v>2634</v>
      </c>
    </row>
    <row r="2" spans="3:16" ht="20.25" customHeight="1" thickTop="1">
      <c r="D2" s="816" t="s">
        <v>2804</v>
      </c>
      <c r="E2" s="817"/>
      <c r="F2" s="817"/>
      <c r="G2" s="817"/>
      <c r="H2" s="817"/>
      <c r="I2" s="817"/>
      <c r="J2" s="817"/>
      <c r="K2" s="817"/>
      <c r="L2" s="817"/>
      <c r="M2" s="817"/>
      <c r="N2" s="817"/>
      <c r="O2" s="817"/>
      <c r="P2" s="817"/>
    </row>
    <row r="3" spans="3:16" ht="11.25" customHeight="1" thickBot="1">
      <c r="D3" s="818"/>
      <c r="E3" s="819"/>
      <c r="F3" s="819"/>
      <c r="G3" s="819"/>
      <c r="H3" s="819"/>
      <c r="I3" s="819"/>
      <c r="J3" s="819"/>
      <c r="K3" s="819"/>
      <c r="L3" s="819"/>
      <c r="M3" s="819"/>
      <c r="N3" s="819"/>
      <c r="O3" s="819"/>
      <c r="P3" s="819"/>
    </row>
    <row r="4" spans="3:16" ht="11.5" customHeight="1" thickTop="1">
      <c r="C4" s="179"/>
      <c r="D4" s="504" t="s">
        <v>0</v>
      </c>
      <c r="E4" s="505"/>
      <c r="F4" s="505"/>
      <c r="G4" s="505"/>
      <c r="H4" s="505"/>
      <c r="I4" s="505"/>
      <c r="J4" s="506"/>
      <c r="K4" s="478" t="s">
        <v>1</v>
      </c>
      <c r="L4" s="479"/>
      <c r="M4" s="477" t="s">
        <v>2119</v>
      </c>
      <c r="N4" s="479"/>
      <c r="O4" s="477" t="s">
        <v>3</v>
      </c>
      <c r="P4" s="479"/>
    </row>
    <row r="5" spans="3:16" ht="11.5" customHeight="1">
      <c r="C5" s="179"/>
      <c r="D5" s="507"/>
      <c r="E5" s="508"/>
      <c r="F5" s="508"/>
      <c r="G5" s="508"/>
      <c r="H5" s="508"/>
      <c r="I5" s="508"/>
      <c r="J5" s="509"/>
      <c r="K5" s="481"/>
      <c r="L5" s="482"/>
      <c r="M5" s="480"/>
      <c r="N5" s="482"/>
      <c r="O5" s="480"/>
      <c r="P5" s="482"/>
    </row>
    <row r="6" spans="3:16" ht="11.5" customHeight="1" thickBot="1">
      <c r="C6" s="179"/>
      <c r="D6" s="510"/>
      <c r="E6" s="511"/>
      <c r="F6" s="511"/>
      <c r="G6" s="511"/>
      <c r="H6" s="511"/>
      <c r="I6" s="511"/>
      <c r="J6" s="512"/>
      <c r="K6" s="484"/>
      <c r="L6" s="485"/>
      <c r="M6" s="483"/>
      <c r="N6" s="485"/>
      <c r="O6" s="483"/>
      <c r="P6" s="485"/>
    </row>
    <row r="7" spans="3:16" ht="7" customHeight="1" thickTop="1">
      <c r="D7" s="730" t="s">
        <v>2839</v>
      </c>
      <c r="E7" s="731"/>
      <c r="F7" s="731"/>
      <c r="G7" s="731"/>
      <c r="H7" s="731"/>
      <c r="I7" s="731"/>
      <c r="J7" s="814"/>
      <c r="K7" s="815">
        <v>2.6</v>
      </c>
      <c r="L7" s="826" t="s">
        <v>11</v>
      </c>
      <c r="M7" s="668">
        <v>3500</v>
      </c>
      <c r="N7" s="832" t="str">
        <f>IF('из города'!$AG$9=3,"Дол.",IF('из города'!$AG$9=1,"Руб.","Грн."))</f>
        <v>Грн.</v>
      </c>
      <c r="O7" s="664">
        <f>K7*M7</f>
        <v>9100</v>
      </c>
      <c r="P7" s="830" t="str">
        <f>IF('из города'!$AG$9=3,"Дол.",IF('из города'!$AG$9=1,"Руб.","Грн."))</f>
        <v>Грн.</v>
      </c>
    </row>
    <row r="8" spans="3:16" ht="7" customHeight="1">
      <c r="D8" s="645"/>
      <c r="E8" s="646"/>
      <c r="F8" s="646"/>
      <c r="G8" s="646"/>
      <c r="H8" s="646"/>
      <c r="I8" s="646"/>
      <c r="J8" s="647"/>
      <c r="K8" s="664"/>
      <c r="L8" s="687"/>
      <c r="M8" s="668"/>
      <c r="N8" s="666"/>
      <c r="O8" s="664"/>
      <c r="P8" s="652"/>
    </row>
    <row r="9" spans="3:16" ht="7" customHeight="1">
      <c r="D9" s="648"/>
      <c r="E9" s="649"/>
      <c r="F9" s="649"/>
      <c r="G9" s="649"/>
      <c r="H9" s="649"/>
      <c r="I9" s="649"/>
      <c r="J9" s="650"/>
      <c r="K9" s="682"/>
      <c r="L9" s="688"/>
      <c r="M9" s="689"/>
      <c r="N9" s="681"/>
      <c r="O9" s="682"/>
      <c r="P9" s="690"/>
    </row>
    <row r="10" spans="3:16" s="428" customFormat="1" ht="7" customHeight="1">
      <c r="D10" s="677" t="s">
        <v>2857</v>
      </c>
      <c r="E10" s="643"/>
      <c r="F10" s="643"/>
      <c r="G10" s="643"/>
      <c r="H10" s="643"/>
      <c r="I10" s="643"/>
      <c r="J10" s="644"/>
      <c r="K10" s="667">
        <v>1.33</v>
      </c>
      <c r="L10" s="686" t="s">
        <v>11</v>
      </c>
      <c r="M10" s="667">
        <v>3500</v>
      </c>
      <c r="N10" s="665" t="str">
        <f>IF('из города'!$AG$9=3,"Дол.",IF('из города'!$AG$9=1,"Руб.","Грн."))</f>
        <v>Грн.</v>
      </c>
      <c r="O10" s="663">
        <f>K10*M10</f>
        <v>4655</v>
      </c>
      <c r="P10" s="651" t="str">
        <f>IF('из города'!$AG$9=3,"Дол.",IF('из города'!$AG$9=1,"Руб.","Грн."))</f>
        <v>Грн.</v>
      </c>
    </row>
    <row r="11" spans="3:16" s="428" customFormat="1" ht="7" customHeight="1">
      <c r="D11" s="645"/>
      <c r="E11" s="646"/>
      <c r="F11" s="646"/>
      <c r="G11" s="646"/>
      <c r="H11" s="646"/>
      <c r="I11" s="646"/>
      <c r="J11" s="647"/>
      <c r="K11" s="668"/>
      <c r="L11" s="687"/>
      <c r="M11" s="668"/>
      <c r="N11" s="666"/>
      <c r="O11" s="664"/>
      <c r="P11" s="652"/>
    </row>
    <row r="12" spans="3:16" s="428" customFormat="1" ht="7" customHeight="1">
      <c r="D12" s="648"/>
      <c r="E12" s="649"/>
      <c r="F12" s="649"/>
      <c r="G12" s="649"/>
      <c r="H12" s="649"/>
      <c r="I12" s="649"/>
      <c r="J12" s="650"/>
      <c r="K12" s="689"/>
      <c r="L12" s="688"/>
      <c r="M12" s="668"/>
      <c r="N12" s="681"/>
      <c r="O12" s="682"/>
      <c r="P12" s="690"/>
    </row>
    <row r="13" spans="3:16" s="428" customFormat="1" ht="7" customHeight="1">
      <c r="D13" s="677" t="s">
        <v>2858</v>
      </c>
      <c r="E13" s="643"/>
      <c r="F13" s="643"/>
      <c r="G13" s="643"/>
      <c r="H13" s="643"/>
      <c r="I13" s="643"/>
      <c r="J13" s="644"/>
      <c r="K13" s="667">
        <v>72</v>
      </c>
      <c r="L13" s="686" t="s">
        <v>2619</v>
      </c>
      <c r="M13" s="667">
        <v>2</v>
      </c>
      <c r="N13" s="665" t="str">
        <f>IF('из города'!$AG$9=3,"Дол.",IF('из города'!$AG$9=1,"Руб.","Грн."))</f>
        <v>Грн.</v>
      </c>
      <c r="O13" s="663">
        <f>K13*M13</f>
        <v>144</v>
      </c>
      <c r="P13" s="651" t="str">
        <f>IF('из города'!$AG$9=3,"Дол.",IF('из города'!$AG$9=1,"Руб.","Грн."))</f>
        <v>Грн.</v>
      </c>
    </row>
    <row r="14" spans="3:16" s="428" customFormat="1" ht="7" customHeight="1">
      <c r="D14" s="645"/>
      <c r="E14" s="646"/>
      <c r="F14" s="646"/>
      <c r="G14" s="646"/>
      <c r="H14" s="646"/>
      <c r="I14" s="646"/>
      <c r="J14" s="647"/>
      <c r="K14" s="668"/>
      <c r="L14" s="687"/>
      <c r="M14" s="668"/>
      <c r="N14" s="666"/>
      <c r="O14" s="664"/>
      <c r="P14" s="652"/>
    </row>
    <row r="15" spans="3:16" s="428" customFormat="1" ht="7" customHeight="1">
      <c r="D15" s="648"/>
      <c r="E15" s="649"/>
      <c r="F15" s="649"/>
      <c r="G15" s="649"/>
      <c r="H15" s="649"/>
      <c r="I15" s="649"/>
      <c r="J15" s="650"/>
      <c r="K15" s="689"/>
      <c r="L15" s="688"/>
      <c r="M15" s="668"/>
      <c r="N15" s="681"/>
      <c r="O15" s="682"/>
      <c r="P15" s="690"/>
    </row>
    <row r="16" spans="3:16" ht="7" customHeight="1">
      <c r="D16" s="677" t="s">
        <v>2746</v>
      </c>
      <c r="E16" s="643"/>
      <c r="F16" s="643"/>
      <c r="G16" s="643"/>
      <c r="H16" s="643"/>
      <c r="I16" s="643"/>
      <c r="J16" s="644"/>
      <c r="K16" s="663">
        <v>15</v>
      </c>
      <c r="L16" s="686" t="s">
        <v>11</v>
      </c>
      <c r="M16" s="667">
        <v>300</v>
      </c>
      <c r="N16" s="665" t="str">
        <f>IF('из города'!$AG$9=3,"Дол.",IF('из города'!$AG$9=1,"Руб.","Грн."))</f>
        <v>Грн.</v>
      </c>
      <c r="O16" s="663">
        <f>K16*M16</f>
        <v>4500</v>
      </c>
      <c r="P16" s="651" t="str">
        <f>IF('из города'!$AG$9=3,"Дол.",IF('из города'!$AG$9=1,"Руб.","Грн."))</f>
        <v>Грн.</v>
      </c>
    </row>
    <row r="17" spans="4:16" ht="7" customHeight="1">
      <c r="D17" s="645"/>
      <c r="E17" s="646"/>
      <c r="F17" s="646"/>
      <c r="G17" s="646"/>
      <c r="H17" s="646"/>
      <c r="I17" s="646"/>
      <c r="J17" s="647"/>
      <c r="K17" s="664"/>
      <c r="L17" s="687"/>
      <c r="M17" s="668"/>
      <c r="N17" s="666"/>
      <c r="O17" s="664"/>
      <c r="P17" s="652"/>
    </row>
    <row r="18" spans="4:16" ht="7" customHeight="1">
      <c r="D18" s="648"/>
      <c r="E18" s="649"/>
      <c r="F18" s="649"/>
      <c r="G18" s="649"/>
      <c r="H18" s="649"/>
      <c r="I18" s="649"/>
      <c r="J18" s="650"/>
      <c r="K18" s="682"/>
      <c r="L18" s="688"/>
      <c r="M18" s="668"/>
      <c r="N18" s="681"/>
      <c r="O18" s="682"/>
      <c r="P18" s="690"/>
    </row>
    <row r="19" spans="4:16" s="428" customFormat="1" ht="7" customHeight="1">
      <c r="D19" s="677" t="s">
        <v>2850</v>
      </c>
      <c r="E19" s="643"/>
      <c r="F19" s="643"/>
      <c r="G19" s="643"/>
      <c r="H19" s="643"/>
      <c r="I19" s="643"/>
      <c r="J19" s="644"/>
      <c r="K19" s="663">
        <v>5.6000000000000001E-2</v>
      </c>
      <c r="L19" s="686" t="s">
        <v>11</v>
      </c>
      <c r="M19" s="667">
        <v>10000</v>
      </c>
      <c r="N19" s="665" t="str">
        <f>IF('из города'!$AG$9=3,"Дол.",IF('из города'!$AG$9=1,"Руб.","Грн."))</f>
        <v>Грн.</v>
      </c>
      <c r="O19" s="663">
        <f>K19*M19</f>
        <v>560</v>
      </c>
      <c r="P19" s="651" t="str">
        <f>IF('из города'!$AG$9=3,"Дол.",IF('из города'!$AG$9=1,"Руб.","Грн."))</f>
        <v>Грн.</v>
      </c>
    </row>
    <row r="20" spans="4:16" s="428" customFormat="1" ht="7" customHeight="1">
      <c r="D20" s="645"/>
      <c r="E20" s="646"/>
      <c r="F20" s="646"/>
      <c r="G20" s="646"/>
      <c r="H20" s="646"/>
      <c r="I20" s="646"/>
      <c r="J20" s="647"/>
      <c r="K20" s="664"/>
      <c r="L20" s="687"/>
      <c r="M20" s="668"/>
      <c r="N20" s="666"/>
      <c r="O20" s="664"/>
      <c r="P20" s="652"/>
    </row>
    <row r="21" spans="4:16" s="428" customFormat="1" ht="7" customHeight="1">
      <c r="D21" s="648"/>
      <c r="E21" s="649"/>
      <c r="F21" s="649"/>
      <c r="G21" s="649"/>
      <c r="H21" s="649"/>
      <c r="I21" s="649"/>
      <c r="J21" s="650"/>
      <c r="K21" s="682"/>
      <c r="L21" s="688"/>
      <c r="M21" s="668"/>
      <c r="N21" s="681"/>
      <c r="O21" s="682"/>
      <c r="P21" s="690"/>
    </row>
    <row r="22" spans="4:16" ht="7" customHeight="1">
      <c r="D22" s="677" t="s">
        <v>2602</v>
      </c>
      <c r="E22" s="643"/>
      <c r="F22" s="643"/>
      <c r="G22" s="643"/>
      <c r="H22" s="643"/>
      <c r="I22" s="643"/>
      <c r="J22" s="644"/>
      <c r="K22" s="663">
        <v>73.38</v>
      </c>
      <c r="L22" s="686" t="s">
        <v>12</v>
      </c>
      <c r="M22" s="667">
        <v>60</v>
      </c>
      <c r="N22" s="665" t="str">
        <f>IF('из города'!$AG$9=3,"Дол.",IF('из города'!$AG$9=1,"Руб.","Грн."))</f>
        <v>Грн.</v>
      </c>
      <c r="O22" s="663">
        <f>K22*M22</f>
        <v>4402.7999999999993</v>
      </c>
      <c r="P22" s="651" t="str">
        <f>IF('из города'!$AG$9=3,"Дол.",IF('из города'!$AG$9=1,"Руб.","Грн."))</f>
        <v>Грн.</v>
      </c>
    </row>
    <row r="23" spans="4:16" ht="7" customHeight="1">
      <c r="D23" s="645"/>
      <c r="E23" s="646"/>
      <c r="F23" s="646"/>
      <c r="G23" s="646"/>
      <c r="H23" s="646"/>
      <c r="I23" s="646"/>
      <c r="J23" s="647"/>
      <c r="K23" s="664"/>
      <c r="L23" s="687"/>
      <c r="M23" s="668"/>
      <c r="N23" s="666"/>
      <c r="O23" s="664"/>
      <c r="P23" s="652"/>
    </row>
    <row r="24" spans="4:16" ht="7" customHeight="1">
      <c r="D24" s="648"/>
      <c r="E24" s="649"/>
      <c r="F24" s="649"/>
      <c r="G24" s="649"/>
      <c r="H24" s="649"/>
      <c r="I24" s="649"/>
      <c r="J24" s="650"/>
      <c r="K24" s="682"/>
      <c r="L24" s="688"/>
      <c r="M24" s="689"/>
      <c r="N24" s="681"/>
      <c r="O24" s="682"/>
      <c r="P24" s="690"/>
    </row>
    <row r="25" spans="4:16" ht="7" customHeight="1">
      <c r="D25" s="677" t="s">
        <v>2805</v>
      </c>
      <c r="E25" s="643"/>
      <c r="F25" s="643"/>
      <c r="G25" s="643"/>
      <c r="H25" s="643"/>
      <c r="I25" s="643"/>
      <c r="J25" s="644"/>
      <c r="K25" s="663">
        <v>26.8</v>
      </c>
      <c r="L25" s="686" t="s">
        <v>12</v>
      </c>
      <c r="M25" s="667">
        <v>60</v>
      </c>
      <c r="N25" s="665" t="str">
        <f>IF('из города'!$AG$9=3,"Дол.",IF('из города'!$AG$9=1,"Руб.","Грн."))</f>
        <v>Грн.</v>
      </c>
      <c r="O25" s="663">
        <f>K25*M25</f>
        <v>1608</v>
      </c>
      <c r="P25" s="651" t="str">
        <f>IF('из города'!$AG$9=3,"Дол.",IF('из города'!$AG$9=1,"Руб.","Грн."))</f>
        <v>Грн.</v>
      </c>
    </row>
    <row r="26" spans="4:16" ht="7" customHeight="1">
      <c r="D26" s="645"/>
      <c r="E26" s="646"/>
      <c r="F26" s="646"/>
      <c r="G26" s="646"/>
      <c r="H26" s="646"/>
      <c r="I26" s="646"/>
      <c r="J26" s="647"/>
      <c r="K26" s="664"/>
      <c r="L26" s="687"/>
      <c r="M26" s="668"/>
      <c r="N26" s="666"/>
      <c r="O26" s="664"/>
      <c r="P26" s="652"/>
    </row>
    <row r="27" spans="4:16" ht="7" customHeight="1">
      <c r="D27" s="648"/>
      <c r="E27" s="649"/>
      <c r="F27" s="649"/>
      <c r="G27" s="649"/>
      <c r="H27" s="649"/>
      <c r="I27" s="649"/>
      <c r="J27" s="650"/>
      <c r="K27" s="682"/>
      <c r="L27" s="688"/>
      <c r="M27" s="689"/>
      <c r="N27" s="681"/>
      <c r="O27" s="682"/>
      <c r="P27" s="690"/>
    </row>
    <row r="28" spans="4:16" ht="7" customHeight="1">
      <c r="D28" s="677" t="s">
        <v>2856</v>
      </c>
      <c r="E28" s="643"/>
      <c r="F28" s="643"/>
      <c r="G28" s="643"/>
      <c r="H28" s="643"/>
      <c r="I28" s="643"/>
      <c r="J28" s="644"/>
      <c r="K28" s="663">
        <v>22.5</v>
      </c>
      <c r="L28" s="686" t="s">
        <v>12</v>
      </c>
      <c r="M28" s="667">
        <v>60</v>
      </c>
      <c r="N28" s="665" t="str">
        <f>IF('из города'!$AG$9=3,"Дол.",IF('из города'!$AG$9=1,"Руб.","Грн."))</f>
        <v>Грн.</v>
      </c>
      <c r="O28" s="663">
        <f>K28*M28</f>
        <v>1350</v>
      </c>
      <c r="P28" s="651" t="str">
        <f>IF('из города'!$AG$9=3,"Дол.",IF('из города'!$AG$9=1,"Руб.","Грн."))</f>
        <v>Грн.</v>
      </c>
    </row>
    <row r="29" spans="4:16" ht="7" customHeight="1">
      <c r="D29" s="645"/>
      <c r="E29" s="646"/>
      <c r="F29" s="646"/>
      <c r="G29" s="646"/>
      <c r="H29" s="646"/>
      <c r="I29" s="646"/>
      <c r="J29" s="647"/>
      <c r="K29" s="664"/>
      <c r="L29" s="687"/>
      <c r="M29" s="668"/>
      <c r="N29" s="666"/>
      <c r="O29" s="664"/>
      <c r="P29" s="652"/>
    </row>
    <row r="30" spans="4:16" ht="7" customHeight="1">
      <c r="D30" s="648"/>
      <c r="E30" s="649"/>
      <c r="F30" s="649"/>
      <c r="G30" s="649"/>
      <c r="H30" s="649"/>
      <c r="I30" s="649"/>
      <c r="J30" s="650"/>
      <c r="K30" s="682"/>
      <c r="L30" s="688"/>
      <c r="M30" s="689"/>
      <c r="N30" s="681"/>
      <c r="O30" s="682"/>
      <c r="P30" s="690"/>
    </row>
    <row r="31" spans="4:16" ht="7" customHeight="1">
      <c r="D31" s="677" t="s">
        <v>2806</v>
      </c>
      <c r="E31" s="643"/>
      <c r="F31" s="643"/>
      <c r="G31" s="643"/>
      <c r="H31" s="643"/>
      <c r="I31" s="643"/>
      <c r="J31" s="644"/>
      <c r="K31" s="663">
        <v>1.9</v>
      </c>
      <c r="L31" s="686" t="s">
        <v>12</v>
      </c>
      <c r="M31" s="667">
        <v>60</v>
      </c>
      <c r="N31" s="665" t="str">
        <f>IF('из города'!$AG$9=3,"Дол.",IF('из города'!$AG$9=1,"Руб.","Грн."))</f>
        <v>Грн.</v>
      </c>
      <c r="O31" s="663">
        <f>K31*M31</f>
        <v>114</v>
      </c>
      <c r="P31" s="651" t="str">
        <f>IF('из города'!$AG$9=3,"Дол.",IF('из города'!$AG$9=1,"Руб.","Грн."))</f>
        <v>Грн.</v>
      </c>
    </row>
    <row r="32" spans="4:16" ht="7" customHeight="1">
      <c r="D32" s="645"/>
      <c r="E32" s="646"/>
      <c r="F32" s="646"/>
      <c r="G32" s="646"/>
      <c r="H32" s="646"/>
      <c r="I32" s="646"/>
      <c r="J32" s="647"/>
      <c r="K32" s="664"/>
      <c r="L32" s="687"/>
      <c r="M32" s="668"/>
      <c r="N32" s="666"/>
      <c r="O32" s="664"/>
      <c r="P32" s="652"/>
    </row>
    <row r="33" spans="4:17" ht="7" customHeight="1">
      <c r="D33" s="648"/>
      <c r="E33" s="649"/>
      <c r="F33" s="649"/>
      <c r="G33" s="649"/>
      <c r="H33" s="649"/>
      <c r="I33" s="649"/>
      <c r="J33" s="650"/>
      <c r="K33" s="682"/>
      <c r="L33" s="688"/>
      <c r="M33" s="689"/>
      <c r="N33" s="681"/>
      <c r="O33" s="682"/>
      <c r="P33" s="690"/>
    </row>
    <row r="34" spans="4:17" s="428" customFormat="1" ht="7" customHeight="1">
      <c r="D34" s="677" t="s">
        <v>2807</v>
      </c>
      <c r="E34" s="643"/>
      <c r="F34" s="643"/>
      <c r="G34" s="643"/>
      <c r="H34" s="643"/>
      <c r="I34" s="643"/>
      <c r="J34" s="644"/>
      <c r="K34" s="663">
        <v>0.25</v>
      </c>
      <c r="L34" s="686" t="s">
        <v>12</v>
      </c>
      <c r="M34" s="667">
        <v>60</v>
      </c>
      <c r="N34" s="665" t="str">
        <f>IF('из города'!$AG$9=3,"Дол.",IF('из города'!$AG$9=1,"Руб.","Грн."))</f>
        <v>Грн.</v>
      </c>
      <c r="O34" s="663">
        <f>K34*M34</f>
        <v>15</v>
      </c>
      <c r="P34" s="651" t="str">
        <f>IF('из города'!$AG$9=3,"Дол.",IF('из города'!$AG$9=1,"Руб.","Грн."))</f>
        <v>Грн.</v>
      </c>
    </row>
    <row r="35" spans="4:17" s="428" customFormat="1" ht="7" customHeight="1">
      <c r="D35" s="645"/>
      <c r="E35" s="646"/>
      <c r="F35" s="646"/>
      <c r="G35" s="646"/>
      <c r="H35" s="646"/>
      <c r="I35" s="646"/>
      <c r="J35" s="647"/>
      <c r="K35" s="664"/>
      <c r="L35" s="687"/>
      <c r="M35" s="668"/>
      <c r="N35" s="666"/>
      <c r="O35" s="664"/>
      <c r="P35" s="652"/>
    </row>
    <row r="36" spans="4:17" s="428" customFormat="1" ht="7" customHeight="1">
      <c r="D36" s="648"/>
      <c r="E36" s="649"/>
      <c r="F36" s="649"/>
      <c r="G36" s="649"/>
      <c r="H36" s="649"/>
      <c r="I36" s="649"/>
      <c r="J36" s="650"/>
      <c r="K36" s="682"/>
      <c r="L36" s="688"/>
      <c r="M36" s="689"/>
      <c r="N36" s="681"/>
      <c r="O36" s="682"/>
      <c r="P36" s="690"/>
    </row>
    <row r="37" spans="4:17" s="428" customFormat="1" ht="7" customHeight="1">
      <c r="D37" s="677" t="s">
        <v>2808</v>
      </c>
      <c r="E37" s="643"/>
      <c r="F37" s="643"/>
      <c r="G37" s="643"/>
      <c r="H37" s="643"/>
      <c r="I37" s="643"/>
      <c r="J37" s="644"/>
      <c r="K37" s="663">
        <v>0.74</v>
      </c>
      <c r="L37" s="686" t="s">
        <v>12</v>
      </c>
      <c r="M37" s="667">
        <v>60</v>
      </c>
      <c r="N37" s="665" t="str">
        <f>IF('из города'!$AG$9=3,"Дол.",IF('из города'!$AG$9=1,"Руб.","Грн."))</f>
        <v>Грн.</v>
      </c>
      <c r="O37" s="663">
        <f>K37*M37</f>
        <v>44.4</v>
      </c>
      <c r="P37" s="651" t="str">
        <f>IF('из города'!$AG$9=3,"Дол.",IF('из города'!$AG$9=1,"Руб.","Грн."))</f>
        <v>Грн.</v>
      </c>
    </row>
    <row r="38" spans="4:17" s="428" customFormat="1" ht="7" customHeight="1">
      <c r="D38" s="645"/>
      <c r="E38" s="646"/>
      <c r="F38" s="646"/>
      <c r="G38" s="646"/>
      <c r="H38" s="646"/>
      <c r="I38" s="646"/>
      <c r="J38" s="647"/>
      <c r="K38" s="664"/>
      <c r="L38" s="687"/>
      <c r="M38" s="668"/>
      <c r="N38" s="666"/>
      <c r="O38" s="664"/>
      <c r="P38" s="652"/>
    </row>
    <row r="39" spans="4:17" s="428" customFormat="1" ht="7" customHeight="1">
      <c r="D39" s="648"/>
      <c r="E39" s="649"/>
      <c r="F39" s="649"/>
      <c r="G39" s="649"/>
      <c r="H39" s="649"/>
      <c r="I39" s="649"/>
      <c r="J39" s="650"/>
      <c r="K39" s="682"/>
      <c r="L39" s="688"/>
      <c r="M39" s="689"/>
      <c r="N39" s="681"/>
      <c r="O39" s="682"/>
      <c r="P39" s="690"/>
    </row>
    <row r="40" spans="4:17" s="428" customFormat="1" ht="7" customHeight="1">
      <c r="D40" s="677" t="s">
        <v>2854</v>
      </c>
      <c r="E40" s="643"/>
      <c r="F40" s="643"/>
      <c r="G40" s="643"/>
      <c r="H40" s="643"/>
      <c r="I40" s="643"/>
      <c r="J40" s="644"/>
      <c r="K40" s="663">
        <v>23</v>
      </c>
      <c r="L40" s="686" t="s">
        <v>12</v>
      </c>
      <c r="M40" s="667">
        <v>60</v>
      </c>
      <c r="N40" s="665" t="str">
        <f>IF('из города'!$AG$9=3,"Дол.",IF('из города'!$AG$9=1,"Руб.","Грн."))</f>
        <v>Грн.</v>
      </c>
      <c r="O40" s="663">
        <f>K40*M40</f>
        <v>1380</v>
      </c>
      <c r="P40" s="651" t="str">
        <f>IF('из города'!$AG$9=3,"Дол.",IF('из города'!$AG$9=1,"Руб.","Грн."))</f>
        <v>Грн.</v>
      </c>
    </row>
    <row r="41" spans="4:17" s="428" customFormat="1" ht="7" customHeight="1">
      <c r="D41" s="645"/>
      <c r="E41" s="646"/>
      <c r="F41" s="646"/>
      <c r="G41" s="646"/>
      <c r="H41" s="646"/>
      <c r="I41" s="646"/>
      <c r="J41" s="647"/>
      <c r="K41" s="664"/>
      <c r="L41" s="687"/>
      <c r="M41" s="668"/>
      <c r="N41" s="666"/>
      <c r="O41" s="664"/>
      <c r="P41" s="652"/>
    </row>
    <row r="42" spans="4:17" s="428" customFormat="1" ht="7" customHeight="1">
      <c r="D42" s="648"/>
      <c r="E42" s="649"/>
      <c r="F42" s="649"/>
      <c r="G42" s="649"/>
      <c r="H42" s="649"/>
      <c r="I42" s="649"/>
      <c r="J42" s="650"/>
      <c r="K42" s="682"/>
      <c r="L42" s="688"/>
      <c r="M42" s="689"/>
      <c r="N42" s="681"/>
      <c r="O42" s="682"/>
      <c r="P42" s="690"/>
    </row>
    <row r="43" spans="4:17" s="428" customFormat="1" ht="7" customHeight="1">
      <c r="D43" s="677" t="s">
        <v>2855</v>
      </c>
      <c r="E43" s="643"/>
      <c r="F43" s="643"/>
      <c r="G43" s="643"/>
      <c r="H43" s="643"/>
      <c r="I43" s="643"/>
      <c r="J43" s="644"/>
      <c r="K43" s="663">
        <v>0.26679999999999998</v>
      </c>
      <c r="L43" s="686" t="s">
        <v>12</v>
      </c>
      <c r="M43" s="667">
        <v>60</v>
      </c>
      <c r="N43" s="665" t="str">
        <f>IF('из города'!$AG$9=3,"Дол.",IF('из города'!$AG$9=1,"Руб.","Грн."))</f>
        <v>Грн.</v>
      </c>
      <c r="O43" s="663">
        <f>K43*M43</f>
        <v>16.007999999999999</v>
      </c>
      <c r="P43" s="651" t="str">
        <f>IF('из города'!$AG$9=3,"Дол.",IF('из города'!$AG$9=1,"Руб.","Грн."))</f>
        <v>Грн.</v>
      </c>
    </row>
    <row r="44" spans="4:17" s="428" customFormat="1" ht="7" customHeight="1">
      <c r="D44" s="645"/>
      <c r="E44" s="646"/>
      <c r="F44" s="646"/>
      <c r="G44" s="646"/>
      <c r="H44" s="646"/>
      <c r="I44" s="646"/>
      <c r="J44" s="647"/>
      <c r="K44" s="664"/>
      <c r="L44" s="687"/>
      <c r="M44" s="668"/>
      <c r="N44" s="666"/>
      <c r="O44" s="664"/>
      <c r="P44" s="652"/>
    </row>
    <row r="45" spans="4:17" s="428" customFormat="1" ht="7" customHeight="1">
      <c r="D45" s="648"/>
      <c r="E45" s="649"/>
      <c r="F45" s="649"/>
      <c r="G45" s="649"/>
      <c r="H45" s="649"/>
      <c r="I45" s="649"/>
      <c r="J45" s="650"/>
      <c r="K45" s="682"/>
      <c r="L45" s="688"/>
      <c r="M45" s="689"/>
      <c r="N45" s="681"/>
      <c r="O45" s="682"/>
      <c r="P45" s="690"/>
    </row>
    <row r="46" spans="4:17" ht="7" customHeight="1">
      <c r="D46" s="677" t="s">
        <v>2809</v>
      </c>
      <c r="E46" s="643"/>
      <c r="F46" s="643"/>
      <c r="G46" s="643"/>
      <c r="H46" s="643"/>
      <c r="I46" s="643"/>
      <c r="J46" s="644"/>
      <c r="K46" s="663">
        <v>245</v>
      </c>
      <c r="L46" s="686" t="s">
        <v>16</v>
      </c>
      <c r="M46" s="667">
        <v>70</v>
      </c>
      <c r="N46" s="665" t="str">
        <f>IF('из города'!$AG$9=3,"Дол.",IF('из города'!$AG$9=1,"Руб.","Грн."))</f>
        <v>Грн.</v>
      </c>
      <c r="O46" s="663">
        <f>K46*M46</f>
        <v>17150</v>
      </c>
      <c r="P46" s="651" t="str">
        <f>IF('из города'!$AG$9=3,"Дол.",IF('из города'!$AG$9=1,"Руб.","Грн."))</f>
        <v>Грн.</v>
      </c>
    </row>
    <row r="47" spans="4:17" ht="7" customHeight="1">
      <c r="D47" s="645"/>
      <c r="E47" s="646"/>
      <c r="F47" s="646"/>
      <c r="G47" s="646"/>
      <c r="H47" s="646"/>
      <c r="I47" s="646"/>
      <c r="J47" s="647"/>
      <c r="K47" s="664"/>
      <c r="L47" s="687"/>
      <c r="M47" s="668"/>
      <c r="N47" s="666"/>
      <c r="O47" s="664"/>
      <c r="P47" s="652"/>
    </row>
    <row r="48" spans="4:17" ht="7" customHeight="1">
      <c r="D48" s="648"/>
      <c r="E48" s="649"/>
      <c r="F48" s="649"/>
      <c r="G48" s="649"/>
      <c r="H48" s="649"/>
      <c r="I48" s="649"/>
      <c r="J48" s="650"/>
      <c r="K48" s="682"/>
      <c r="L48" s="688"/>
      <c r="M48" s="689"/>
      <c r="N48" s="681"/>
      <c r="O48" s="682"/>
      <c r="P48" s="690"/>
      <c r="Q48" s="831">
        <f>(O46+O52+O58)/R220</f>
        <v>1170.9615384615386</v>
      </c>
    </row>
    <row r="49" spans="4:17" s="428" customFormat="1" ht="7" customHeight="1">
      <c r="D49" s="677" t="s">
        <v>2811</v>
      </c>
      <c r="E49" s="643"/>
      <c r="F49" s="643"/>
      <c r="G49" s="643"/>
      <c r="H49" s="643"/>
      <c r="I49" s="643"/>
      <c r="J49" s="644"/>
      <c r="K49" s="663">
        <v>21</v>
      </c>
      <c r="L49" s="686" t="s">
        <v>16</v>
      </c>
      <c r="M49" s="667">
        <v>60</v>
      </c>
      <c r="N49" s="665" t="str">
        <f>IF('из города'!$AG$9=3,"Дол.",IF('из города'!$AG$9=1,"Руб.","Грн."))</f>
        <v>Грн.</v>
      </c>
      <c r="O49" s="663">
        <f>K49*M49</f>
        <v>1260</v>
      </c>
      <c r="P49" s="651" t="str">
        <f>IF('из города'!$AG$9=3,"Дол.",IF('из города'!$AG$9=1,"Руб.","Грн."))</f>
        <v>Грн.</v>
      </c>
      <c r="Q49" s="831"/>
    </row>
    <row r="50" spans="4:17" s="428" customFormat="1" ht="7" customHeight="1">
      <c r="D50" s="645"/>
      <c r="E50" s="646"/>
      <c r="F50" s="646"/>
      <c r="G50" s="646"/>
      <c r="H50" s="646"/>
      <c r="I50" s="646"/>
      <c r="J50" s="647"/>
      <c r="K50" s="664"/>
      <c r="L50" s="687"/>
      <c r="M50" s="668"/>
      <c r="N50" s="666"/>
      <c r="O50" s="664"/>
      <c r="P50" s="652"/>
      <c r="Q50" s="831"/>
    </row>
    <row r="51" spans="4:17" s="428" customFormat="1" ht="7" customHeight="1">
      <c r="D51" s="648"/>
      <c r="E51" s="649"/>
      <c r="F51" s="649"/>
      <c r="G51" s="649"/>
      <c r="H51" s="649"/>
      <c r="I51" s="649"/>
      <c r="J51" s="650"/>
      <c r="K51" s="682"/>
      <c r="L51" s="688"/>
      <c r="M51" s="689"/>
      <c r="N51" s="681"/>
      <c r="O51" s="682"/>
      <c r="P51" s="690"/>
      <c r="Q51" s="831"/>
    </row>
    <row r="52" spans="4:17" s="263" customFormat="1" ht="7" customHeight="1">
      <c r="D52" s="677" t="s">
        <v>2810</v>
      </c>
      <c r="E52" s="643"/>
      <c r="F52" s="643"/>
      <c r="G52" s="643"/>
      <c r="H52" s="643"/>
      <c r="I52" s="643"/>
      <c r="J52" s="644"/>
      <c r="K52" s="663">
        <v>265</v>
      </c>
      <c r="L52" s="686" t="s">
        <v>16</v>
      </c>
      <c r="M52" s="667">
        <v>25</v>
      </c>
      <c r="N52" s="665" t="str">
        <f>IF('из города'!$AG$9=3,"Дол.",IF('из города'!$AG$9=1,"Руб.","Грн."))</f>
        <v>Грн.</v>
      </c>
      <c r="O52" s="663">
        <f>K52*M52</f>
        <v>6625</v>
      </c>
      <c r="P52" s="651" t="str">
        <f>IF('из города'!$AG$9=3,"Дол.",IF('из города'!$AG$9=1,"Руб.","Грн."))</f>
        <v>Грн.</v>
      </c>
      <c r="Q52" s="831"/>
    </row>
    <row r="53" spans="4:17" s="263" customFormat="1" ht="7" customHeight="1">
      <c r="D53" s="645"/>
      <c r="E53" s="646"/>
      <c r="F53" s="646"/>
      <c r="G53" s="646"/>
      <c r="H53" s="646"/>
      <c r="I53" s="646"/>
      <c r="J53" s="647"/>
      <c r="K53" s="664"/>
      <c r="L53" s="687"/>
      <c r="M53" s="668"/>
      <c r="N53" s="666"/>
      <c r="O53" s="664"/>
      <c r="P53" s="652"/>
      <c r="Q53" s="831"/>
    </row>
    <row r="54" spans="4:17" s="263" customFormat="1" ht="6.5" customHeight="1">
      <c r="D54" s="648"/>
      <c r="E54" s="649"/>
      <c r="F54" s="649"/>
      <c r="G54" s="649"/>
      <c r="H54" s="649"/>
      <c r="I54" s="649"/>
      <c r="J54" s="650"/>
      <c r="K54" s="682"/>
      <c r="L54" s="688"/>
      <c r="M54" s="689"/>
      <c r="N54" s="681"/>
      <c r="O54" s="682"/>
      <c r="P54" s="690"/>
    </row>
    <row r="55" spans="4:17" s="428" customFormat="1" ht="7" customHeight="1">
      <c r="D55" s="642" t="s">
        <v>2812</v>
      </c>
      <c r="E55" s="643"/>
      <c r="F55" s="643"/>
      <c r="G55" s="643"/>
      <c r="H55" s="643"/>
      <c r="I55" s="643"/>
      <c r="J55" s="644"/>
      <c r="K55" s="663">
        <v>21</v>
      </c>
      <c r="L55" s="686" t="s">
        <v>16</v>
      </c>
      <c r="M55" s="667">
        <v>25</v>
      </c>
      <c r="N55" s="665" t="str">
        <f>IF('из города'!$AG$9=3,"Дол.",IF('из города'!$AG$9=1,"Руб.","Грн."))</f>
        <v>Грн.</v>
      </c>
      <c r="O55" s="663">
        <f>K55*M55</f>
        <v>525</v>
      </c>
      <c r="P55" s="651" t="str">
        <f>IF('из города'!$AG$9=3,"Дол.",IF('из города'!$AG$9=1,"Руб.","Грн."))</f>
        <v>Грн.</v>
      </c>
    </row>
    <row r="56" spans="4:17" s="428" customFormat="1" ht="7" customHeight="1">
      <c r="D56" s="645"/>
      <c r="E56" s="646"/>
      <c r="F56" s="646"/>
      <c r="G56" s="646"/>
      <c r="H56" s="646"/>
      <c r="I56" s="646"/>
      <c r="J56" s="647"/>
      <c r="K56" s="664"/>
      <c r="L56" s="687"/>
      <c r="M56" s="668"/>
      <c r="N56" s="666"/>
      <c r="O56" s="664"/>
      <c r="P56" s="652"/>
    </row>
    <row r="57" spans="4:17" s="428" customFormat="1" ht="7" customHeight="1">
      <c r="D57" s="648"/>
      <c r="E57" s="649"/>
      <c r="F57" s="649"/>
      <c r="G57" s="649"/>
      <c r="H57" s="649"/>
      <c r="I57" s="649"/>
      <c r="J57" s="650"/>
      <c r="K57" s="682"/>
      <c r="L57" s="688"/>
      <c r="M57" s="689"/>
      <c r="N57" s="681"/>
      <c r="O57" s="682"/>
      <c r="P57" s="690"/>
    </row>
    <row r="58" spans="4:17" ht="7" customHeight="1">
      <c r="D58" s="677" t="s">
        <v>2813</v>
      </c>
      <c r="E58" s="643"/>
      <c r="F58" s="643"/>
      <c r="G58" s="643"/>
      <c r="H58" s="643"/>
      <c r="I58" s="643"/>
      <c r="J58" s="644"/>
      <c r="K58" s="663">
        <v>46</v>
      </c>
      <c r="L58" s="686" t="s">
        <v>16</v>
      </c>
      <c r="M58" s="667">
        <v>145</v>
      </c>
      <c r="N58" s="665" t="str">
        <f>IF('из города'!$AG$9=3,"Дол.",IF('из города'!$AG$9=1,"Руб.","Грн."))</f>
        <v>Грн.</v>
      </c>
      <c r="O58" s="663">
        <f>K58*M58</f>
        <v>6670</v>
      </c>
      <c r="P58" s="651" t="str">
        <f>IF('из города'!$AG$9=3,"Дол.",IF('из города'!$AG$9=1,"Руб.","Грн."))</f>
        <v>Грн.</v>
      </c>
      <c r="Q58" s="793"/>
    </row>
    <row r="59" spans="4:17" ht="7" customHeight="1">
      <c r="D59" s="645"/>
      <c r="E59" s="646"/>
      <c r="F59" s="646"/>
      <c r="G59" s="646"/>
      <c r="H59" s="646"/>
      <c r="I59" s="646"/>
      <c r="J59" s="647"/>
      <c r="K59" s="664"/>
      <c r="L59" s="687"/>
      <c r="M59" s="668"/>
      <c r="N59" s="666"/>
      <c r="O59" s="664"/>
      <c r="P59" s="652"/>
      <c r="Q59" s="793"/>
    </row>
    <row r="60" spans="4:17" ht="7" customHeight="1">
      <c r="D60" s="648"/>
      <c r="E60" s="649"/>
      <c r="F60" s="649"/>
      <c r="G60" s="649"/>
      <c r="H60" s="649"/>
      <c r="I60" s="649"/>
      <c r="J60" s="650"/>
      <c r="K60" s="682"/>
      <c r="L60" s="688"/>
      <c r="M60" s="689"/>
      <c r="N60" s="681"/>
      <c r="O60" s="682"/>
      <c r="P60" s="690"/>
      <c r="Q60" s="793"/>
    </row>
    <row r="61" spans="4:17" s="428" customFormat="1" ht="7" customHeight="1">
      <c r="D61" s="677" t="s">
        <v>2814</v>
      </c>
      <c r="E61" s="643"/>
      <c r="F61" s="643"/>
      <c r="G61" s="643"/>
      <c r="H61" s="643"/>
      <c r="I61" s="643"/>
      <c r="J61" s="644"/>
      <c r="K61" s="663">
        <v>4</v>
      </c>
      <c r="L61" s="686" t="s">
        <v>16</v>
      </c>
      <c r="M61" s="667">
        <v>500</v>
      </c>
      <c r="N61" s="665" t="str">
        <f>IF('из города'!$AG$9=3,"Дол.",IF('из города'!$AG$9=1,"Руб.","Грн."))</f>
        <v>Грн.</v>
      </c>
      <c r="O61" s="663">
        <f>K61*M61</f>
        <v>2000</v>
      </c>
      <c r="P61" s="651" t="str">
        <f>IF('из города'!$AG$9=3,"Дол.",IF('из города'!$AG$9=1,"Руб.","Грн."))</f>
        <v>Грн.</v>
      </c>
      <c r="Q61" s="793"/>
    </row>
    <row r="62" spans="4:17" s="428" customFormat="1" ht="7" customHeight="1">
      <c r="D62" s="645"/>
      <c r="E62" s="646"/>
      <c r="F62" s="646"/>
      <c r="G62" s="646"/>
      <c r="H62" s="646"/>
      <c r="I62" s="646"/>
      <c r="J62" s="647"/>
      <c r="K62" s="664"/>
      <c r="L62" s="687"/>
      <c r="M62" s="668"/>
      <c r="N62" s="666"/>
      <c r="O62" s="664"/>
      <c r="P62" s="652"/>
      <c r="Q62" s="793"/>
    </row>
    <row r="63" spans="4:17" s="428" customFormat="1" ht="7" customHeight="1">
      <c r="D63" s="648"/>
      <c r="E63" s="649"/>
      <c r="F63" s="649"/>
      <c r="G63" s="649"/>
      <c r="H63" s="649"/>
      <c r="I63" s="649"/>
      <c r="J63" s="650"/>
      <c r="K63" s="682"/>
      <c r="L63" s="688"/>
      <c r="M63" s="689"/>
      <c r="N63" s="681"/>
      <c r="O63" s="682"/>
      <c r="P63" s="690"/>
      <c r="Q63" s="793"/>
    </row>
    <row r="64" spans="4:17" ht="7" customHeight="1">
      <c r="D64" s="677" t="s">
        <v>2816</v>
      </c>
      <c r="E64" s="643"/>
      <c r="F64" s="643"/>
      <c r="G64" s="643"/>
      <c r="H64" s="643"/>
      <c r="I64" s="643"/>
      <c r="J64" s="644"/>
      <c r="K64" s="663">
        <v>4</v>
      </c>
      <c r="L64" s="686" t="s">
        <v>12</v>
      </c>
      <c r="M64" s="667">
        <v>60</v>
      </c>
      <c r="N64" s="665" t="str">
        <f>IF('из города'!$AG$9=3,"Дол.",IF('из города'!$AG$9=1,"Руб.","Грн."))</f>
        <v>Грн.</v>
      </c>
      <c r="O64" s="663">
        <f>K64*M64</f>
        <v>240</v>
      </c>
      <c r="P64" s="651" t="str">
        <f>IF('из города'!$AG$9=3,"Дол.",IF('из города'!$AG$9=1,"Руб.","Грн."))</f>
        <v>Грн.</v>
      </c>
      <c r="Q64" s="793"/>
    </row>
    <row r="65" spans="4:17" ht="7" customHeight="1">
      <c r="D65" s="645"/>
      <c r="E65" s="646"/>
      <c r="F65" s="646"/>
      <c r="G65" s="646"/>
      <c r="H65" s="646"/>
      <c r="I65" s="646"/>
      <c r="J65" s="647"/>
      <c r="K65" s="664"/>
      <c r="L65" s="687"/>
      <c r="M65" s="668"/>
      <c r="N65" s="666"/>
      <c r="O65" s="664"/>
      <c r="P65" s="652"/>
      <c r="Q65" s="793"/>
    </row>
    <row r="66" spans="4:17" ht="7" customHeight="1">
      <c r="D66" s="648"/>
      <c r="E66" s="649"/>
      <c r="F66" s="649"/>
      <c r="G66" s="649"/>
      <c r="H66" s="649"/>
      <c r="I66" s="649"/>
      <c r="J66" s="650"/>
      <c r="K66" s="682"/>
      <c r="L66" s="688"/>
      <c r="M66" s="689"/>
      <c r="N66" s="681"/>
      <c r="O66" s="682"/>
      <c r="P66" s="690"/>
      <c r="Q66" s="793"/>
    </row>
    <row r="67" spans="4:17" ht="7" customHeight="1">
      <c r="D67" s="677" t="s">
        <v>2817</v>
      </c>
      <c r="E67" s="643"/>
      <c r="F67" s="643"/>
      <c r="G67" s="643"/>
      <c r="H67" s="643"/>
      <c r="I67" s="643"/>
      <c r="J67" s="644"/>
      <c r="K67" s="663">
        <v>100</v>
      </c>
      <c r="L67" s="686" t="s">
        <v>13</v>
      </c>
      <c r="M67" s="667">
        <v>7</v>
      </c>
      <c r="N67" s="665" t="str">
        <f>IF('из города'!$AG$9=3,"Дол.",IF('из города'!$AG$9=1,"Руб.","Грн."))</f>
        <v>Грн.</v>
      </c>
      <c r="O67" s="663">
        <f>K67*M67</f>
        <v>700</v>
      </c>
      <c r="P67" s="651" t="str">
        <f>IF('из города'!$AG$9=3,"Дол.",IF('из города'!$AG$9=1,"Руб.","Грн."))</f>
        <v>Грн.</v>
      </c>
    </row>
    <row r="68" spans="4:17" ht="7" customHeight="1">
      <c r="D68" s="645"/>
      <c r="E68" s="646"/>
      <c r="F68" s="646"/>
      <c r="G68" s="646"/>
      <c r="H68" s="646"/>
      <c r="I68" s="646"/>
      <c r="J68" s="647"/>
      <c r="K68" s="664"/>
      <c r="L68" s="687"/>
      <c r="M68" s="668"/>
      <c r="N68" s="666"/>
      <c r="O68" s="664"/>
      <c r="P68" s="652"/>
    </row>
    <row r="69" spans="4:17" ht="7" customHeight="1">
      <c r="D69" s="648"/>
      <c r="E69" s="649"/>
      <c r="F69" s="649"/>
      <c r="G69" s="649"/>
      <c r="H69" s="649"/>
      <c r="I69" s="649"/>
      <c r="J69" s="650"/>
      <c r="K69" s="682"/>
      <c r="L69" s="688"/>
      <c r="M69" s="689"/>
      <c r="N69" s="681"/>
      <c r="O69" s="682"/>
      <c r="P69" s="690"/>
    </row>
    <row r="70" spans="4:17" ht="7" customHeight="1">
      <c r="D70" s="677" t="s">
        <v>2818</v>
      </c>
      <c r="E70" s="643"/>
      <c r="F70" s="643"/>
      <c r="G70" s="643"/>
      <c r="H70" s="643"/>
      <c r="I70" s="643"/>
      <c r="J70" s="644"/>
      <c r="K70" s="663">
        <v>105</v>
      </c>
      <c r="L70" s="686" t="s">
        <v>13</v>
      </c>
      <c r="M70" s="667">
        <v>15</v>
      </c>
      <c r="N70" s="665" t="str">
        <f>IF('из города'!$AG$9=3,"Дол.",IF('из города'!$AG$9=1,"Руб.","Грн."))</f>
        <v>Грн.</v>
      </c>
      <c r="O70" s="663">
        <f>K70*M70</f>
        <v>1575</v>
      </c>
      <c r="P70" s="651" t="str">
        <f>IF('из города'!$AG$9=3,"Дол.",IF('из города'!$AG$9=1,"Руб.","Грн."))</f>
        <v>Грн.</v>
      </c>
    </row>
    <row r="71" spans="4:17" ht="7" customHeight="1">
      <c r="D71" s="645"/>
      <c r="E71" s="646"/>
      <c r="F71" s="646"/>
      <c r="G71" s="646"/>
      <c r="H71" s="646"/>
      <c r="I71" s="646"/>
      <c r="J71" s="647"/>
      <c r="K71" s="664"/>
      <c r="L71" s="687"/>
      <c r="M71" s="668"/>
      <c r="N71" s="666"/>
      <c r="O71" s="664"/>
      <c r="P71" s="652"/>
    </row>
    <row r="72" spans="4:17" ht="7" customHeight="1">
      <c r="D72" s="648"/>
      <c r="E72" s="649"/>
      <c r="F72" s="649"/>
      <c r="G72" s="649"/>
      <c r="H72" s="649"/>
      <c r="I72" s="649"/>
      <c r="J72" s="650"/>
      <c r="K72" s="682"/>
      <c r="L72" s="688"/>
      <c r="M72" s="689"/>
      <c r="N72" s="681"/>
      <c r="O72" s="682"/>
      <c r="P72" s="690"/>
    </row>
    <row r="73" spans="4:17" ht="7" customHeight="1">
      <c r="D73" s="677" t="s">
        <v>2819</v>
      </c>
      <c r="E73" s="643"/>
      <c r="F73" s="643"/>
      <c r="G73" s="643"/>
      <c r="H73" s="643"/>
      <c r="I73" s="643"/>
      <c r="J73" s="644"/>
      <c r="K73" s="663">
        <v>90</v>
      </c>
      <c r="L73" s="686" t="s">
        <v>13</v>
      </c>
      <c r="M73" s="667">
        <v>50</v>
      </c>
      <c r="N73" s="665" t="str">
        <f>IF('из города'!$AG$9=3,"Дол.",IF('из города'!$AG$9=1,"Руб.","Грн."))</f>
        <v>Грн.</v>
      </c>
      <c r="O73" s="663">
        <f>K73*M73</f>
        <v>4500</v>
      </c>
      <c r="P73" s="651" t="str">
        <f>IF('из города'!$AG$9=3,"Дол.",IF('из города'!$AG$9=1,"Руб.","Грн."))</f>
        <v>Грн.</v>
      </c>
    </row>
    <row r="74" spans="4:17" ht="7" customHeight="1">
      <c r="D74" s="645"/>
      <c r="E74" s="646"/>
      <c r="F74" s="646"/>
      <c r="G74" s="646"/>
      <c r="H74" s="646"/>
      <c r="I74" s="646"/>
      <c r="J74" s="647"/>
      <c r="K74" s="664"/>
      <c r="L74" s="687"/>
      <c r="M74" s="668"/>
      <c r="N74" s="666"/>
      <c r="O74" s="664"/>
      <c r="P74" s="652"/>
    </row>
    <row r="75" spans="4:17" ht="7" customHeight="1">
      <c r="D75" s="648"/>
      <c r="E75" s="649"/>
      <c r="F75" s="649"/>
      <c r="G75" s="649"/>
      <c r="H75" s="649"/>
      <c r="I75" s="649"/>
      <c r="J75" s="650"/>
      <c r="K75" s="682"/>
      <c r="L75" s="688"/>
      <c r="M75" s="689"/>
      <c r="N75" s="681"/>
      <c r="O75" s="682"/>
      <c r="P75" s="690"/>
    </row>
    <row r="76" spans="4:17" ht="7" customHeight="1">
      <c r="D76" s="677" t="s">
        <v>2820</v>
      </c>
      <c r="E76" s="643"/>
      <c r="F76" s="643"/>
      <c r="G76" s="643"/>
      <c r="H76" s="643"/>
      <c r="I76" s="643"/>
      <c r="J76" s="644"/>
      <c r="K76" s="663">
        <v>67</v>
      </c>
      <c r="L76" s="686" t="s">
        <v>13</v>
      </c>
      <c r="M76" s="667">
        <v>170</v>
      </c>
      <c r="N76" s="665" t="str">
        <f>IF('из города'!$AG$9=3,"Дол.",IF('из города'!$AG$9=1,"Руб.","Грн."))</f>
        <v>Грн.</v>
      </c>
      <c r="O76" s="663">
        <f>K76*M76</f>
        <v>11390</v>
      </c>
      <c r="P76" s="651" t="str">
        <f>IF('из города'!$AG$9=3,"Дол.",IF('из города'!$AG$9=1,"Руб.","Грн."))</f>
        <v>Грн.</v>
      </c>
    </row>
    <row r="77" spans="4:17" ht="7" customHeight="1">
      <c r="D77" s="645"/>
      <c r="E77" s="646"/>
      <c r="F77" s="646"/>
      <c r="G77" s="646"/>
      <c r="H77" s="646"/>
      <c r="I77" s="646"/>
      <c r="J77" s="647"/>
      <c r="K77" s="664"/>
      <c r="L77" s="687"/>
      <c r="M77" s="668"/>
      <c r="N77" s="666"/>
      <c r="O77" s="664"/>
      <c r="P77" s="652"/>
    </row>
    <row r="78" spans="4:17" ht="7" customHeight="1">
      <c r="D78" s="648"/>
      <c r="E78" s="649"/>
      <c r="F78" s="649"/>
      <c r="G78" s="649"/>
      <c r="H78" s="649"/>
      <c r="I78" s="649"/>
      <c r="J78" s="650"/>
      <c r="K78" s="682"/>
      <c r="L78" s="688"/>
      <c r="M78" s="689"/>
      <c r="N78" s="681"/>
      <c r="O78" s="682"/>
      <c r="P78" s="690"/>
    </row>
    <row r="79" spans="4:17" s="428" customFormat="1" ht="7" customHeight="1">
      <c r="D79" s="677" t="s">
        <v>2821</v>
      </c>
      <c r="E79" s="643"/>
      <c r="F79" s="643"/>
      <c r="G79" s="643"/>
      <c r="H79" s="643"/>
      <c r="I79" s="643"/>
      <c r="J79" s="644"/>
      <c r="K79" s="663">
        <v>18</v>
      </c>
      <c r="L79" s="686" t="s">
        <v>2619</v>
      </c>
      <c r="M79" s="667">
        <v>150</v>
      </c>
      <c r="N79" s="665" t="str">
        <f>IF('из города'!$AG$9=3,"Дол.",IF('из города'!$AG$9=1,"Руб.","Грн."))</f>
        <v>Грн.</v>
      </c>
      <c r="O79" s="663">
        <f>K79*M79</f>
        <v>2700</v>
      </c>
      <c r="P79" s="651" t="str">
        <f>IF('из города'!$AG$9=3,"Дол.",IF('из города'!$AG$9=1,"Руб.","Грн."))</f>
        <v>Грн.</v>
      </c>
    </row>
    <row r="80" spans="4:17" s="428" customFormat="1" ht="7" customHeight="1">
      <c r="D80" s="645"/>
      <c r="E80" s="646"/>
      <c r="F80" s="646"/>
      <c r="G80" s="646"/>
      <c r="H80" s="646"/>
      <c r="I80" s="646"/>
      <c r="J80" s="647"/>
      <c r="K80" s="664"/>
      <c r="L80" s="687"/>
      <c r="M80" s="668"/>
      <c r="N80" s="666"/>
      <c r="O80" s="664"/>
      <c r="P80" s="652"/>
    </row>
    <row r="81" spans="4:16" s="428" customFormat="1" ht="7" customHeight="1">
      <c r="D81" s="648"/>
      <c r="E81" s="649"/>
      <c r="F81" s="649"/>
      <c r="G81" s="649"/>
      <c r="H81" s="649"/>
      <c r="I81" s="649"/>
      <c r="J81" s="650"/>
      <c r="K81" s="682"/>
      <c r="L81" s="688"/>
      <c r="M81" s="689"/>
      <c r="N81" s="681"/>
      <c r="O81" s="682"/>
      <c r="P81" s="690"/>
    </row>
    <row r="82" spans="4:16" s="428" customFormat="1" ht="7" customHeight="1">
      <c r="D82" s="677" t="s">
        <v>2822</v>
      </c>
      <c r="E82" s="643"/>
      <c r="F82" s="643"/>
      <c r="G82" s="643"/>
      <c r="H82" s="643"/>
      <c r="I82" s="643"/>
      <c r="J82" s="644"/>
      <c r="K82" s="663">
        <v>4</v>
      </c>
      <c r="L82" s="686" t="s">
        <v>16</v>
      </c>
      <c r="M82" s="667">
        <v>1000</v>
      </c>
      <c r="N82" s="665" t="str">
        <f>IF('из города'!$AG$9=3,"Дол.",IF('из города'!$AG$9=1,"Руб.","Грн."))</f>
        <v>Грн.</v>
      </c>
      <c r="O82" s="663">
        <f>K82*M82</f>
        <v>4000</v>
      </c>
      <c r="P82" s="651" t="str">
        <f>IF('из города'!$AG$9=3,"Дол.",IF('из города'!$AG$9=1,"Руб.","Грн."))</f>
        <v>Грн.</v>
      </c>
    </row>
    <row r="83" spans="4:16" s="428" customFormat="1" ht="7" customHeight="1">
      <c r="D83" s="645"/>
      <c r="E83" s="646"/>
      <c r="F83" s="646"/>
      <c r="G83" s="646"/>
      <c r="H83" s="646"/>
      <c r="I83" s="646"/>
      <c r="J83" s="647"/>
      <c r="K83" s="664"/>
      <c r="L83" s="687"/>
      <c r="M83" s="668"/>
      <c r="N83" s="666"/>
      <c r="O83" s="664"/>
      <c r="P83" s="652"/>
    </row>
    <row r="84" spans="4:16" s="428" customFormat="1" ht="7" customHeight="1">
      <c r="D84" s="648"/>
      <c r="E84" s="649"/>
      <c r="F84" s="649"/>
      <c r="G84" s="649"/>
      <c r="H84" s="649"/>
      <c r="I84" s="649"/>
      <c r="J84" s="650"/>
      <c r="K84" s="682"/>
      <c r="L84" s="688"/>
      <c r="M84" s="689"/>
      <c r="N84" s="681"/>
      <c r="O84" s="682"/>
      <c r="P84" s="690"/>
    </row>
    <row r="85" spans="4:16" ht="7" customHeight="1">
      <c r="D85" s="677" t="s">
        <v>2823</v>
      </c>
      <c r="E85" s="643"/>
      <c r="F85" s="643"/>
      <c r="G85" s="643"/>
      <c r="H85" s="643"/>
      <c r="I85" s="643"/>
      <c r="J85" s="644"/>
      <c r="K85" s="663">
        <v>94</v>
      </c>
      <c r="L85" s="686" t="s">
        <v>13</v>
      </c>
      <c r="M85" s="667">
        <v>170</v>
      </c>
      <c r="N85" s="665" t="str">
        <f>IF('из города'!$AG$9=3,"Дол.",IF('из города'!$AG$9=1,"Руб.","Грн."))</f>
        <v>Грн.</v>
      </c>
      <c r="O85" s="663">
        <f>K85*M85</f>
        <v>15980</v>
      </c>
      <c r="P85" s="651" t="str">
        <f>IF('из города'!$AG$9=3,"Дол.",IF('из города'!$AG$9=1,"Руб.","Грн."))</f>
        <v>Грн.</v>
      </c>
    </row>
    <row r="86" spans="4:16" ht="7" customHeight="1">
      <c r="D86" s="645"/>
      <c r="E86" s="646"/>
      <c r="F86" s="646"/>
      <c r="G86" s="646"/>
      <c r="H86" s="646"/>
      <c r="I86" s="646"/>
      <c r="J86" s="647"/>
      <c r="K86" s="664"/>
      <c r="L86" s="687"/>
      <c r="M86" s="668"/>
      <c r="N86" s="666"/>
      <c r="O86" s="664"/>
      <c r="P86" s="652"/>
    </row>
    <row r="87" spans="4:16" ht="7" customHeight="1">
      <c r="D87" s="648"/>
      <c r="E87" s="649"/>
      <c r="F87" s="649"/>
      <c r="G87" s="649"/>
      <c r="H87" s="649"/>
      <c r="I87" s="649"/>
      <c r="J87" s="650"/>
      <c r="K87" s="682"/>
      <c r="L87" s="688"/>
      <c r="M87" s="689"/>
      <c r="N87" s="681"/>
      <c r="O87" s="682"/>
      <c r="P87" s="690"/>
    </row>
    <row r="88" spans="4:16" ht="7" customHeight="1">
      <c r="D88" s="642" t="s">
        <v>2824</v>
      </c>
      <c r="E88" s="718"/>
      <c r="F88" s="718"/>
      <c r="G88" s="718"/>
      <c r="H88" s="718"/>
      <c r="I88" s="718"/>
      <c r="J88" s="719"/>
      <c r="K88" s="663">
        <v>75</v>
      </c>
      <c r="L88" s="686" t="s">
        <v>13</v>
      </c>
      <c r="M88" s="667">
        <v>180</v>
      </c>
      <c r="N88" s="665" t="str">
        <f>IF('из города'!$AG$9=3,"Дол.",IF('из города'!$AG$9=1,"Руб.","Грн."))</f>
        <v>Грн.</v>
      </c>
      <c r="O88" s="663">
        <f>K88*M88</f>
        <v>13500</v>
      </c>
      <c r="P88" s="651" t="str">
        <f>IF('из города'!$AG$9=3,"Дол.",IF('из города'!$AG$9=1,"Руб.","Грн."))</f>
        <v>Грн.</v>
      </c>
    </row>
    <row r="89" spans="4:16" ht="7" customHeight="1">
      <c r="D89" s="720"/>
      <c r="E89" s="721"/>
      <c r="F89" s="721"/>
      <c r="G89" s="721"/>
      <c r="H89" s="721"/>
      <c r="I89" s="721"/>
      <c r="J89" s="722"/>
      <c r="K89" s="664"/>
      <c r="L89" s="687"/>
      <c r="M89" s="668"/>
      <c r="N89" s="666"/>
      <c r="O89" s="664"/>
      <c r="P89" s="652"/>
    </row>
    <row r="90" spans="4:16" ht="7" customHeight="1">
      <c r="D90" s="723"/>
      <c r="E90" s="724"/>
      <c r="F90" s="724"/>
      <c r="G90" s="724"/>
      <c r="H90" s="724"/>
      <c r="I90" s="724"/>
      <c r="J90" s="725"/>
      <c r="K90" s="682"/>
      <c r="L90" s="688"/>
      <c r="M90" s="689"/>
      <c r="N90" s="681"/>
      <c r="O90" s="682"/>
      <c r="P90" s="690"/>
    </row>
    <row r="91" spans="4:16" s="428" customFormat="1" ht="11.5" customHeight="1">
      <c r="D91" s="642" t="s">
        <v>2825</v>
      </c>
      <c r="E91" s="718"/>
      <c r="F91" s="718"/>
      <c r="G91" s="718"/>
      <c r="H91" s="718"/>
      <c r="I91" s="718"/>
      <c r="J91" s="719"/>
      <c r="K91" s="663">
        <v>56.25</v>
      </c>
      <c r="L91" s="686" t="s">
        <v>13</v>
      </c>
      <c r="M91" s="667">
        <v>130</v>
      </c>
      <c r="N91" s="665" t="str">
        <f>IF('из города'!$AG$9=3,"Дол.",IF('из города'!$AG$9=1,"Руб.","Грн."))</f>
        <v>Грн.</v>
      </c>
      <c r="O91" s="663">
        <f>K91*M91</f>
        <v>7312.5</v>
      </c>
      <c r="P91" s="651" t="str">
        <f>IF('из города'!$AG$9=3,"Дол.",IF('из города'!$AG$9=1,"Руб.","Грн."))</f>
        <v>Грн.</v>
      </c>
    </row>
    <row r="92" spans="4:16" s="428" customFormat="1" ht="7" customHeight="1">
      <c r="D92" s="720"/>
      <c r="E92" s="721"/>
      <c r="F92" s="721"/>
      <c r="G92" s="721"/>
      <c r="H92" s="721"/>
      <c r="I92" s="721"/>
      <c r="J92" s="722"/>
      <c r="K92" s="664"/>
      <c r="L92" s="687"/>
      <c r="M92" s="668"/>
      <c r="N92" s="666"/>
      <c r="O92" s="664"/>
      <c r="P92" s="652"/>
    </row>
    <row r="93" spans="4:16" s="428" customFormat="1" ht="7" customHeight="1">
      <c r="D93" s="723"/>
      <c r="E93" s="724"/>
      <c r="F93" s="724"/>
      <c r="G93" s="724"/>
      <c r="H93" s="724"/>
      <c r="I93" s="724"/>
      <c r="J93" s="725"/>
      <c r="K93" s="682"/>
      <c r="L93" s="688"/>
      <c r="M93" s="689"/>
      <c r="N93" s="681"/>
      <c r="O93" s="682"/>
      <c r="P93" s="690"/>
    </row>
    <row r="94" spans="4:16" ht="7" customHeight="1">
      <c r="D94" s="677" t="s">
        <v>2826</v>
      </c>
      <c r="E94" s="643"/>
      <c r="F94" s="643"/>
      <c r="G94" s="643"/>
      <c r="H94" s="643"/>
      <c r="I94" s="643"/>
      <c r="J94" s="644"/>
      <c r="K94" s="663">
        <v>0.61</v>
      </c>
      <c r="L94" s="686" t="s">
        <v>14</v>
      </c>
      <c r="M94" s="667">
        <v>3500</v>
      </c>
      <c r="N94" s="665" t="str">
        <f>IF('из города'!$AG$9=3,"Дол.",IF('из города'!$AG$9=1,"Руб.","Грн."))</f>
        <v>Грн.</v>
      </c>
      <c r="O94" s="663">
        <f>K94*M94</f>
        <v>2135</v>
      </c>
      <c r="P94" s="651" t="str">
        <f>IF('из города'!$AG$9=3,"Дол.",IF('из города'!$AG$9=1,"Руб.","Грн."))</f>
        <v>Грн.</v>
      </c>
    </row>
    <row r="95" spans="4:16" ht="7" customHeight="1">
      <c r="D95" s="645"/>
      <c r="E95" s="646"/>
      <c r="F95" s="646"/>
      <c r="G95" s="646"/>
      <c r="H95" s="646"/>
      <c r="I95" s="646"/>
      <c r="J95" s="647"/>
      <c r="K95" s="664"/>
      <c r="L95" s="687"/>
      <c r="M95" s="668"/>
      <c r="N95" s="666"/>
      <c r="O95" s="664"/>
      <c r="P95" s="652"/>
    </row>
    <row r="96" spans="4:16" ht="7" customHeight="1">
      <c r="D96" s="648"/>
      <c r="E96" s="649"/>
      <c r="F96" s="649"/>
      <c r="G96" s="649"/>
      <c r="H96" s="649"/>
      <c r="I96" s="649"/>
      <c r="J96" s="650"/>
      <c r="K96" s="682"/>
      <c r="L96" s="688"/>
      <c r="M96" s="689"/>
      <c r="N96" s="681"/>
      <c r="O96" s="682"/>
      <c r="P96" s="690"/>
    </row>
    <row r="97" spans="4:16" s="428" customFormat="1" ht="7" customHeight="1">
      <c r="D97" s="677" t="s">
        <v>2851</v>
      </c>
      <c r="E97" s="643"/>
      <c r="F97" s="643"/>
      <c r="G97" s="643"/>
      <c r="H97" s="643"/>
      <c r="I97" s="643"/>
      <c r="J97" s="644"/>
      <c r="K97" s="663">
        <v>0.5</v>
      </c>
      <c r="L97" s="686" t="s">
        <v>14</v>
      </c>
      <c r="M97" s="667">
        <v>3500</v>
      </c>
      <c r="N97" s="665" t="str">
        <f>IF('из города'!$AG$9=3,"Дол.",IF('из города'!$AG$9=1,"Руб.","Грн."))</f>
        <v>Грн.</v>
      </c>
      <c r="O97" s="663">
        <f>K97*M97</f>
        <v>1750</v>
      </c>
      <c r="P97" s="651" t="str">
        <f>IF('из города'!$AG$9=3,"Дол.",IF('из города'!$AG$9=1,"Руб.","Грн."))</f>
        <v>Грн.</v>
      </c>
    </row>
    <row r="98" spans="4:16" s="428" customFormat="1" ht="7" customHeight="1">
      <c r="D98" s="645"/>
      <c r="E98" s="646"/>
      <c r="F98" s="646"/>
      <c r="G98" s="646"/>
      <c r="H98" s="646"/>
      <c r="I98" s="646"/>
      <c r="J98" s="647"/>
      <c r="K98" s="664"/>
      <c r="L98" s="687"/>
      <c r="M98" s="668"/>
      <c r="N98" s="666"/>
      <c r="O98" s="664"/>
      <c r="P98" s="652"/>
    </row>
    <row r="99" spans="4:16" s="428" customFormat="1" ht="7" customHeight="1">
      <c r="D99" s="648"/>
      <c r="E99" s="649"/>
      <c r="F99" s="649"/>
      <c r="G99" s="649"/>
      <c r="H99" s="649"/>
      <c r="I99" s="649"/>
      <c r="J99" s="650"/>
      <c r="K99" s="682"/>
      <c r="L99" s="688"/>
      <c r="M99" s="689"/>
      <c r="N99" s="681"/>
      <c r="O99" s="682"/>
      <c r="P99" s="690"/>
    </row>
    <row r="100" spans="4:16" s="428" customFormat="1" ht="7" customHeight="1">
      <c r="D100" s="677" t="s">
        <v>2849</v>
      </c>
      <c r="E100" s="643"/>
      <c r="F100" s="643"/>
      <c r="G100" s="643"/>
      <c r="H100" s="643"/>
      <c r="I100" s="643"/>
      <c r="J100" s="644"/>
      <c r="K100" s="663">
        <v>0.4</v>
      </c>
      <c r="L100" s="686" t="s">
        <v>14</v>
      </c>
      <c r="M100" s="667">
        <v>3500</v>
      </c>
      <c r="N100" s="665" t="str">
        <f>IF('из города'!$AG$9=3,"Дол.",IF('из города'!$AG$9=1,"Руб.","Грн."))</f>
        <v>Грн.</v>
      </c>
      <c r="O100" s="663">
        <f>K100*M100</f>
        <v>1400</v>
      </c>
      <c r="P100" s="651" t="str">
        <f>IF('из города'!$AG$9=3,"Дол.",IF('из города'!$AG$9=1,"Руб.","Грн."))</f>
        <v>Грн.</v>
      </c>
    </row>
    <row r="101" spans="4:16" s="428" customFormat="1" ht="7" customHeight="1">
      <c r="D101" s="645"/>
      <c r="E101" s="646"/>
      <c r="F101" s="646"/>
      <c r="G101" s="646"/>
      <c r="H101" s="646"/>
      <c r="I101" s="646"/>
      <c r="J101" s="647"/>
      <c r="K101" s="664"/>
      <c r="L101" s="687"/>
      <c r="M101" s="668"/>
      <c r="N101" s="666"/>
      <c r="O101" s="664"/>
      <c r="P101" s="652"/>
    </row>
    <row r="102" spans="4:16" s="428" customFormat="1" ht="7" customHeight="1">
      <c r="D102" s="648"/>
      <c r="E102" s="649"/>
      <c r="F102" s="649"/>
      <c r="G102" s="649"/>
      <c r="H102" s="649"/>
      <c r="I102" s="649"/>
      <c r="J102" s="650"/>
      <c r="K102" s="682"/>
      <c r="L102" s="688"/>
      <c r="M102" s="689"/>
      <c r="N102" s="681"/>
      <c r="O102" s="682"/>
      <c r="P102" s="690"/>
    </row>
    <row r="103" spans="4:16" ht="7" customHeight="1">
      <c r="D103" s="642" t="s">
        <v>2827</v>
      </c>
      <c r="E103" s="718"/>
      <c r="F103" s="718"/>
      <c r="G103" s="718"/>
      <c r="H103" s="718"/>
      <c r="I103" s="718"/>
      <c r="J103" s="719"/>
      <c r="K103" s="663">
        <f>0.81+11.32</f>
        <v>12.13</v>
      </c>
      <c r="L103" s="686" t="s">
        <v>12</v>
      </c>
      <c r="M103" s="667">
        <v>140</v>
      </c>
      <c r="N103" s="665" t="str">
        <f>IF('из города'!$AG$9=3,"Дол.",IF('из города'!$AG$9=1,"Руб.","Грн."))</f>
        <v>Грн.</v>
      </c>
      <c r="O103" s="663">
        <f>K103*M103</f>
        <v>1698.2</v>
      </c>
      <c r="P103" s="651" t="str">
        <f>IF('из города'!$AG$9=3,"Дол.",IF('из города'!$AG$9=1,"Руб.","Грн."))</f>
        <v>Грн.</v>
      </c>
    </row>
    <row r="104" spans="4:16" ht="7" customHeight="1">
      <c r="D104" s="720"/>
      <c r="E104" s="721"/>
      <c r="F104" s="721"/>
      <c r="G104" s="721"/>
      <c r="H104" s="721"/>
      <c r="I104" s="721"/>
      <c r="J104" s="722"/>
      <c r="K104" s="664"/>
      <c r="L104" s="687"/>
      <c r="M104" s="668"/>
      <c r="N104" s="666"/>
      <c r="O104" s="664"/>
      <c r="P104" s="652"/>
    </row>
    <row r="105" spans="4:16" ht="7" customHeight="1">
      <c r="D105" s="723"/>
      <c r="E105" s="724"/>
      <c r="F105" s="724"/>
      <c r="G105" s="724"/>
      <c r="H105" s="724"/>
      <c r="I105" s="724"/>
      <c r="J105" s="725"/>
      <c r="K105" s="682"/>
      <c r="L105" s="688"/>
      <c r="M105" s="689"/>
      <c r="N105" s="681"/>
      <c r="O105" s="682"/>
      <c r="P105" s="690"/>
    </row>
    <row r="106" spans="4:16" s="428" customFormat="1" ht="7" customHeight="1">
      <c r="D106" s="642" t="s">
        <v>2828</v>
      </c>
      <c r="E106" s="718"/>
      <c r="F106" s="718"/>
      <c r="G106" s="718"/>
      <c r="H106" s="718"/>
      <c r="I106" s="718"/>
      <c r="J106" s="719"/>
      <c r="K106" s="663">
        <v>5.83</v>
      </c>
      <c r="L106" s="686" t="s">
        <v>12</v>
      </c>
      <c r="M106" s="667">
        <v>140</v>
      </c>
      <c r="N106" s="665" t="str">
        <f>IF('из города'!$AG$9=3,"Дол.",IF('из города'!$AG$9=1,"Руб.","Грн."))</f>
        <v>Грн.</v>
      </c>
      <c r="O106" s="663">
        <f>K106*M106</f>
        <v>816.2</v>
      </c>
      <c r="P106" s="651" t="str">
        <f>IF('из города'!$AG$9=3,"Дол.",IF('из города'!$AG$9=1,"Руб.","Грн."))</f>
        <v>Грн.</v>
      </c>
    </row>
    <row r="107" spans="4:16" s="428" customFormat="1" ht="7" customHeight="1">
      <c r="D107" s="720"/>
      <c r="E107" s="721"/>
      <c r="F107" s="721"/>
      <c r="G107" s="721"/>
      <c r="H107" s="721"/>
      <c r="I107" s="721"/>
      <c r="J107" s="722"/>
      <c r="K107" s="664"/>
      <c r="L107" s="687"/>
      <c r="M107" s="668"/>
      <c r="N107" s="666"/>
      <c r="O107" s="664"/>
      <c r="P107" s="652"/>
    </row>
    <row r="108" spans="4:16" s="428" customFormat="1" ht="7" customHeight="1">
      <c r="D108" s="723"/>
      <c r="E108" s="724"/>
      <c r="F108" s="724"/>
      <c r="G108" s="724"/>
      <c r="H108" s="724"/>
      <c r="I108" s="724"/>
      <c r="J108" s="725"/>
      <c r="K108" s="682"/>
      <c r="L108" s="688"/>
      <c r="M108" s="689"/>
      <c r="N108" s="681"/>
      <c r="O108" s="682"/>
      <c r="P108" s="690"/>
    </row>
    <row r="109" spans="4:16" ht="9.5" customHeight="1">
      <c r="D109" s="642" t="s">
        <v>2860</v>
      </c>
      <c r="E109" s="718"/>
      <c r="F109" s="718"/>
      <c r="G109" s="718"/>
      <c r="H109" s="718"/>
      <c r="I109" s="718"/>
      <c r="J109" s="719"/>
      <c r="K109" s="663">
        <v>9</v>
      </c>
      <c r="L109" s="686" t="s">
        <v>12</v>
      </c>
      <c r="M109" s="667">
        <v>140</v>
      </c>
      <c r="N109" s="665" t="str">
        <f>IF('из города'!$AG$9=3,"Дол.",IF('из города'!$AG$9=1,"Руб.","Грн."))</f>
        <v>Грн.</v>
      </c>
      <c r="O109" s="663">
        <f>K109*M109</f>
        <v>1260</v>
      </c>
      <c r="P109" s="651" t="str">
        <f>IF('из города'!$AG$9=3,"Дол.",IF('из города'!$AG$9=1,"Руб.","Грн."))</f>
        <v>Грн.</v>
      </c>
    </row>
    <row r="110" spans="4:16" ht="7" customHeight="1">
      <c r="D110" s="720"/>
      <c r="E110" s="721"/>
      <c r="F110" s="721"/>
      <c r="G110" s="721"/>
      <c r="H110" s="721"/>
      <c r="I110" s="721"/>
      <c r="J110" s="722"/>
      <c r="K110" s="664"/>
      <c r="L110" s="687"/>
      <c r="M110" s="668"/>
      <c r="N110" s="666"/>
      <c r="O110" s="664"/>
      <c r="P110" s="652"/>
    </row>
    <row r="111" spans="4:16" ht="7" customHeight="1">
      <c r="D111" s="723"/>
      <c r="E111" s="724"/>
      <c r="F111" s="724"/>
      <c r="G111" s="724"/>
      <c r="H111" s="724"/>
      <c r="I111" s="724"/>
      <c r="J111" s="725"/>
      <c r="K111" s="682"/>
      <c r="L111" s="688"/>
      <c r="M111" s="689"/>
      <c r="N111" s="681"/>
      <c r="O111" s="682"/>
      <c r="P111" s="690"/>
    </row>
    <row r="112" spans="4:16" ht="7" customHeight="1">
      <c r="D112" s="642" t="s">
        <v>2829</v>
      </c>
      <c r="E112" s="718"/>
      <c r="F112" s="718"/>
      <c r="G112" s="718"/>
      <c r="H112" s="718"/>
      <c r="I112" s="718"/>
      <c r="J112" s="719"/>
      <c r="K112" s="663">
        <v>0.97</v>
      </c>
      <c r="L112" s="686" t="s">
        <v>12</v>
      </c>
      <c r="M112" s="667">
        <v>140</v>
      </c>
      <c r="N112" s="665" t="str">
        <f>IF('из города'!$AG$9=3,"Дол.",IF('из города'!$AG$9=1,"Руб.","Грн."))</f>
        <v>Грн.</v>
      </c>
      <c r="O112" s="663">
        <f>K112*M112</f>
        <v>135.79999999999998</v>
      </c>
      <c r="P112" s="651" t="str">
        <f>IF('из города'!$AG$9=3,"Дол.",IF('из города'!$AG$9=1,"Руб.","Грн."))</f>
        <v>Грн.</v>
      </c>
    </row>
    <row r="113" spans="4:16" ht="7" customHeight="1">
      <c r="D113" s="720"/>
      <c r="E113" s="721"/>
      <c r="F113" s="721"/>
      <c r="G113" s="721"/>
      <c r="H113" s="721"/>
      <c r="I113" s="721"/>
      <c r="J113" s="722"/>
      <c r="K113" s="664"/>
      <c r="L113" s="687"/>
      <c r="M113" s="668"/>
      <c r="N113" s="666"/>
      <c r="O113" s="664"/>
      <c r="P113" s="652"/>
    </row>
    <row r="114" spans="4:16" ht="7" customHeight="1">
      <c r="D114" s="723"/>
      <c r="E114" s="724"/>
      <c r="F114" s="724"/>
      <c r="G114" s="724"/>
      <c r="H114" s="724"/>
      <c r="I114" s="724"/>
      <c r="J114" s="725"/>
      <c r="K114" s="682"/>
      <c r="L114" s="688"/>
      <c r="M114" s="689"/>
      <c r="N114" s="681"/>
      <c r="O114" s="682"/>
      <c r="P114" s="690"/>
    </row>
    <row r="115" spans="4:16" s="428" customFormat="1" ht="11.5" customHeight="1">
      <c r="D115" s="642" t="s">
        <v>2859</v>
      </c>
      <c r="E115" s="718"/>
      <c r="F115" s="718"/>
      <c r="G115" s="718"/>
      <c r="H115" s="718"/>
      <c r="I115" s="718"/>
      <c r="J115" s="719"/>
      <c r="K115" s="663">
        <v>6.72</v>
      </c>
      <c r="L115" s="686" t="s">
        <v>12</v>
      </c>
      <c r="M115" s="667">
        <v>140</v>
      </c>
      <c r="N115" s="665" t="str">
        <f>IF('из города'!$AG$9=3,"Дол.",IF('из города'!$AG$9=1,"Руб.","Грн."))</f>
        <v>Грн.</v>
      </c>
      <c r="O115" s="663">
        <f>K115*M115</f>
        <v>940.8</v>
      </c>
      <c r="P115" s="651" t="str">
        <f>IF('из города'!$AG$9=3,"Дол.",IF('из города'!$AG$9=1,"Руб.","Грн."))</f>
        <v>Грн.</v>
      </c>
    </row>
    <row r="116" spans="4:16" s="428" customFormat="1" ht="7" customHeight="1">
      <c r="D116" s="720"/>
      <c r="E116" s="721"/>
      <c r="F116" s="721"/>
      <c r="G116" s="721"/>
      <c r="H116" s="721"/>
      <c r="I116" s="721"/>
      <c r="J116" s="722"/>
      <c r="K116" s="664"/>
      <c r="L116" s="687"/>
      <c r="M116" s="668"/>
      <c r="N116" s="666"/>
      <c r="O116" s="664"/>
      <c r="P116" s="652"/>
    </row>
    <row r="117" spans="4:16" s="428" customFormat="1" ht="7" customHeight="1">
      <c r="D117" s="723"/>
      <c r="E117" s="724"/>
      <c r="F117" s="724"/>
      <c r="G117" s="724"/>
      <c r="H117" s="724"/>
      <c r="I117" s="724"/>
      <c r="J117" s="725"/>
      <c r="K117" s="682"/>
      <c r="L117" s="688"/>
      <c r="M117" s="689"/>
      <c r="N117" s="681"/>
      <c r="O117" s="682"/>
      <c r="P117" s="690"/>
    </row>
    <row r="118" spans="4:16" s="428" customFormat="1" ht="7" customHeight="1">
      <c r="D118" s="642" t="s">
        <v>2852</v>
      </c>
      <c r="E118" s="718"/>
      <c r="F118" s="718"/>
      <c r="G118" s="718"/>
      <c r="H118" s="718"/>
      <c r="I118" s="718"/>
      <c r="J118" s="719"/>
      <c r="K118" s="663">
        <v>1.1000000000000001</v>
      </c>
      <c r="L118" s="686" t="s">
        <v>12</v>
      </c>
      <c r="M118" s="667">
        <v>140</v>
      </c>
      <c r="N118" s="665" t="str">
        <f>IF('из города'!$AG$9=3,"Дол.",IF('из города'!$AG$9=1,"Руб.","Грн."))</f>
        <v>Грн.</v>
      </c>
      <c r="O118" s="663">
        <f>K118*M118</f>
        <v>154</v>
      </c>
      <c r="P118" s="651" t="str">
        <f>IF('из города'!$AG$9=3,"Дол.",IF('из города'!$AG$9=1,"Руб.","Грн."))</f>
        <v>Грн.</v>
      </c>
    </row>
    <row r="119" spans="4:16" s="428" customFormat="1" ht="7" customHeight="1">
      <c r="D119" s="720"/>
      <c r="E119" s="721"/>
      <c r="F119" s="721"/>
      <c r="G119" s="721"/>
      <c r="H119" s="721"/>
      <c r="I119" s="721"/>
      <c r="J119" s="722"/>
      <c r="K119" s="664"/>
      <c r="L119" s="687"/>
      <c r="M119" s="668"/>
      <c r="N119" s="666"/>
      <c r="O119" s="664"/>
      <c r="P119" s="652"/>
    </row>
    <row r="120" spans="4:16" s="428" customFormat="1" ht="7" customHeight="1">
      <c r="D120" s="723"/>
      <c r="E120" s="724"/>
      <c r="F120" s="724"/>
      <c r="G120" s="724"/>
      <c r="H120" s="724"/>
      <c r="I120" s="724"/>
      <c r="J120" s="725"/>
      <c r="K120" s="682"/>
      <c r="L120" s="688"/>
      <c r="M120" s="689"/>
      <c r="N120" s="681"/>
      <c r="O120" s="682"/>
      <c r="P120" s="690"/>
    </row>
    <row r="121" spans="4:16" ht="7" customHeight="1">
      <c r="D121" s="642" t="s">
        <v>2830</v>
      </c>
      <c r="E121" s="718"/>
      <c r="F121" s="718"/>
      <c r="G121" s="718"/>
      <c r="H121" s="718"/>
      <c r="I121" s="718"/>
      <c r="J121" s="719"/>
      <c r="K121" s="663">
        <v>40</v>
      </c>
      <c r="L121" s="687" t="s">
        <v>16</v>
      </c>
      <c r="M121" s="667">
        <v>20</v>
      </c>
      <c r="N121" s="665" t="str">
        <f>IF('из города'!$AG$9=3,"Дол.",IF('из города'!$AG$9=1,"Руб.","Грн."))</f>
        <v>Грн.</v>
      </c>
      <c r="O121" s="663">
        <f>K121*M121</f>
        <v>800</v>
      </c>
      <c r="P121" s="651" t="str">
        <f>IF('из города'!$AG$9=3,"Дол.",IF('из города'!$AG$9=1,"Руб.","Грн."))</f>
        <v>Грн.</v>
      </c>
    </row>
    <row r="122" spans="4:16" ht="7" customHeight="1">
      <c r="D122" s="720"/>
      <c r="E122" s="721"/>
      <c r="F122" s="721"/>
      <c r="G122" s="721"/>
      <c r="H122" s="721"/>
      <c r="I122" s="721"/>
      <c r="J122" s="722"/>
      <c r="K122" s="664"/>
      <c r="L122" s="687"/>
      <c r="M122" s="668"/>
      <c r="N122" s="666"/>
      <c r="O122" s="664"/>
      <c r="P122" s="652"/>
    </row>
    <row r="123" spans="4:16" ht="7" customHeight="1">
      <c r="D123" s="723"/>
      <c r="E123" s="724"/>
      <c r="F123" s="724"/>
      <c r="G123" s="724"/>
      <c r="H123" s="724"/>
      <c r="I123" s="724"/>
      <c r="J123" s="725"/>
      <c r="K123" s="682"/>
      <c r="L123" s="688"/>
      <c r="M123" s="689"/>
      <c r="N123" s="681"/>
      <c r="O123" s="682"/>
      <c r="P123" s="690"/>
    </row>
    <row r="124" spans="4:16" s="428" customFormat="1" ht="7" customHeight="1">
      <c r="D124" s="642" t="s">
        <v>2831</v>
      </c>
      <c r="E124" s="718"/>
      <c r="F124" s="718"/>
      <c r="G124" s="718"/>
      <c r="H124" s="718"/>
      <c r="I124" s="718"/>
      <c r="J124" s="719"/>
      <c r="K124" s="663">
        <v>5.84</v>
      </c>
      <c r="L124" s="686" t="s">
        <v>12</v>
      </c>
      <c r="M124" s="667">
        <v>140</v>
      </c>
      <c r="N124" s="665" t="str">
        <f>IF('из города'!$AG$9=3,"Дол.",IF('из города'!$AG$9=1,"Руб.","Грн."))</f>
        <v>Грн.</v>
      </c>
      <c r="O124" s="663">
        <f>K124*M124</f>
        <v>817.6</v>
      </c>
      <c r="P124" s="651" t="str">
        <f>IF('из города'!$AG$9=3,"Дол.",IF('из города'!$AG$9=1,"Руб.","Грн."))</f>
        <v>Грн.</v>
      </c>
    </row>
    <row r="125" spans="4:16" s="428" customFormat="1" ht="7" customHeight="1">
      <c r="D125" s="720"/>
      <c r="E125" s="721"/>
      <c r="F125" s="721"/>
      <c r="G125" s="721"/>
      <c r="H125" s="721"/>
      <c r="I125" s="721"/>
      <c r="J125" s="722"/>
      <c r="K125" s="664"/>
      <c r="L125" s="687"/>
      <c r="M125" s="668"/>
      <c r="N125" s="666"/>
      <c r="O125" s="664"/>
      <c r="P125" s="652"/>
    </row>
    <row r="126" spans="4:16" s="428" customFormat="1" ht="7" customHeight="1">
      <c r="D126" s="723"/>
      <c r="E126" s="724"/>
      <c r="F126" s="724"/>
      <c r="G126" s="724"/>
      <c r="H126" s="724"/>
      <c r="I126" s="724"/>
      <c r="J126" s="725"/>
      <c r="K126" s="682"/>
      <c r="L126" s="688"/>
      <c r="M126" s="689"/>
      <c r="N126" s="681"/>
      <c r="O126" s="682"/>
      <c r="P126" s="690"/>
    </row>
    <row r="127" spans="4:16" s="428" customFormat="1" ht="7" customHeight="1">
      <c r="D127" s="642" t="s">
        <v>2840</v>
      </c>
      <c r="E127" s="718"/>
      <c r="F127" s="718"/>
      <c r="G127" s="718"/>
      <c r="H127" s="718"/>
      <c r="I127" s="718"/>
      <c r="J127" s="719"/>
      <c r="K127" s="663">
        <v>4.21</v>
      </c>
      <c r="L127" s="686" t="s">
        <v>12</v>
      </c>
      <c r="M127" s="667">
        <v>140</v>
      </c>
      <c r="N127" s="665" t="str">
        <f>IF('из города'!$AG$9=3,"Дол.",IF('из города'!$AG$9=1,"Руб.","Грн."))</f>
        <v>Грн.</v>
      </c>
      <c r="O127" s="663">
        <f>K127*M127</f>
        <v>589.4</v>
      </c>
      <c r="P127" s="651" t="str">
        <f>IF('из города'!$AG$9=3,"Дол.",IF('из города'!$AG$9=1,"Руб.","Грн."))</f>
        <v>Грн.</v>
      </c>
    </row>
    <row r="128" spans="4:16" s="428" customFormat="1" ht="7" customHeight="1">
      <c r="D128" s="720"/>
      <c r="E128" s="721"/>
      <c r="F128" s="721"/>
      <c r="G128" s="721"/>
      <c r="H128" s="721"/>
      <c r="I128" s="721"/>
      <c r="J128" s="722"/>
      <c r="K128" s="664"/>
      <c r="L128" s="687"/>
      <c r="M128" s="668"/>
      <c r="N128" s="666"/>
      <c r="O128" s="664"/>
      <c r="P128" s="652"/>
    </row>
    <row r="129" spans="4:16" s="428" customFormat="1" ht="7" customHeight="1">
      <c r="D129" s="723"/>
      <c r="E129" s="724"/>
      <c r="F129" s="724"/>
      <c r="G129" s="724"/>
      <c r="H129" s="724"/>
      <c r="I129" s="724"/>
      <c r="J129" s="725"/>
      <c r="K129" s="682"/>
      <c r="L129" s="688"/>
      <c r="M129" s="689"/>
      <c r="N129" s="681"/>
      <c r="O129" s="682"/>
      <c r="P129" s="690"/>
    </row>
    <row r="130" spans="4:16" s="428" customFormat="1" ht="7" customHeight="1">
      <c r="D130" s="642" t="s">
        <v>2847</v>
      </c>
      <c r="E130" s="718"/>
      <c r="F130" s="718"/>
      <c r="G130" s="718"/>
      <c r="H130" s="718"/>
      <c r="I130" s="718"/>
      <c r="J130" s="719"/>
      <c r="K130" s="663">
        <v>1.41</v>
      </c>
      <c r="L130" s="686" t="s">
        <v>12</v>
      </c>
      <c r="M130" s="667">
        <v>250</v>
      </c>
      <c r="N130" s="665" t="str">
        <f>IF('из города'!$AG$9=3,"Дол.",IF('из города'!$AG$9=1,"Руб.","Грн."))</f>
        <v>Грн.</v>
      </c>
      <c r="O130" s="663">
        <f>K130*M130</f>
        <v>352.5</v>
      </c>
      <c r="P130" s="651" t="str">
        <f>IF('из города'!$AG$9=3,"Дол.",IF('из города'!$AG$9=1,"Руб.","Грн."))</f>
        <v>Грн.</v>
      </c>
    </row>
    <row r="131" spans="4:16" s="428" customFormat="1" ht="10" customHeight="1">
      <c r="D131" s="720"/>
      <c r="E131" s="721"/>
      <c r="F131" s="721"/>
      <c r="G131" s="721"/>
      <c r="H131" s="721"/>
      <c r="I131" s="721"/>
      <c r="J131" s="722"/>
      <c r="K131" s="664"/>
      <c r="L131" s="687"/>
      <c r="M131" s="668"/>
      <c r="N131" s="666"/>
      <c r="O131" s="664"/>
      <c r="P131" s="652"/>
    </row>
    <row r="132" spans="4:16" s="428" customFormat="1" ht="7" customHeight="1">
      <c r="D132" s="723"/>
      <c r="E132" s="724"/>
      <c r="F132" s="724"/>
      <c r="G132" s="724"/>
      <c r="H132" s="724"/>
      <c r="I132" s="724"/>
      <c r="J132" s="725"/>
      <c r="K132" s="682"/>
      <c r="L132" s="688"/>
      <c r="M132" s="689"/>
      <c r="N132" s="681"/>
      <c r="O132" s="682"/>
      <c r="P132" s="690"/>
    </row>
    <row r="133" spans="4:16" s="428" customFormat="1" ht="7" customHeight="1">
      <c r="D133" s="642" t="s">
        <v>2848</v>
      </c>
      <c r="E133" s="718"/>
      <c r="F133" s="718"/>
      <c r="G133" s="718"/>
      <c r="H133" s="718"/>
      <c r="I133" s="718"/>
      <c r="J133" s="719"/>
      <c r="K133" s="663">
        <v>2.3199999999999998</v>
      </c>
      <c r="L133" s="686" t="s">
        <v>12</v>
      </c>
      <c r="M133" s="667">
        <v>140</v>
      </c>
      <c r="N133" s="665" t="str">
        <f>IF('из города'!$AG$9=3,"Дол.",IF('из города'!$AG$9=1,"Руб.","Грн."))</f>
        <v>Грн.</v>
      </c>
      <c r="O133" s="663">
        <f>K133*M133</f>
        <v>324.79999999999995</v>
      </c>
      <c r="P133" s="651" t="str">
        <f>IF('из города'!$AG$9=3,"Дол.",IF('из города'!$AG$9=1,"Руб.","Грн."))</f>
        <v>Грн.</v>
      </c>
    </row>
    <row r="134" spans="4:16" s="428" customFormat="1" ht="7" customHeight="1">
      <c r="D134" s="720"/>
      <c r="E134" s="721"/>
      <c r="F134" s="721"/>
      <c r="G134" s="721"/>
      <c r="H134" s="721"/>
      <c r="I134" s="721"/>
      <c r="J134" s="722"/>
      <c r="K134" s="664"/>
      <c r="L134" s="687"/>
      <c r="M134" s="668"/>
      <c r="N134" s="666"/>
      <c r="O134" s="664"/>
      <c r="P134" s="652"/>
    </row>
    <row r="135" spans="4:16" s="428" customFormat="1" ht="7" customHeight="1">
      <c r="D135" s="723"/>
      <c r="E135" s="724"/>
      <c r="F135" s="724"/>
      <c r="G135" s="724"/>
      <c r="H135" s="724"/>
      <c r="I135" s="724"/>
      <c r="J135" s="725"/>
      <c r="K135" s="682"/>
      <c r="L135" s="688"/>
      <c r="M135" s="689"/>
      <c r="N135" s="681"/>
      <c r="O135" s="682"/>
      <c r="P135" s="690"/>
    </row>
    <row r="136" spans="4:16" s="380" customFormat="1" ht="8.5" customHeight="1">
      <c r="D136" s="642" t="s">
        <v>2832</v>
      </c>
      <c r="E136" s="718"/>
      <c r="F136" s="718"/>
      <c r="G136" s="718"/>
      <c r="H136" s="718"/>
      <c r="I136" s="718"/>
      <c r="J136" s="719"/>
      <c r="K136" s="663">
        <v>2</v>
      </c>
      <c r="L136" s="687" t="s">
        <v>12</v>
      </c>
      <c r="M136" s="667">
        <v>309</v>
      </c>
      <c r="N136" s="665" t="str">
        <f>IF('из города'!$AG$9=3,"Дол.",IF('из города'!$AG$9=1,"Руб.","Грн."))</f>
        <v>Грн.</v>
      </c>
      <c r="O136" s="663">
        <f>K136*M136</f>
        <v>618</v>
      </c>
      <c r="P136" s="651" t="str">
        <f>IF('из города'!$AG$9=3,"Дол.",IF('из города'!$AG$9=1,"Руб.","Грн."))</f>
        <v>Грн.</v>
      </c>
    </row>
    <row r="137" spans="4:16" s="380" customFormat="1" ht="8.5" customHeight="1">
      <c r="D137" s="720"/>
      <c r="E137" s="721"/>
      <c r="F137" s="721"/>
      <c r="G137" s="721"/>
      <c r="H137" s="721"/>
      <c r="I137" s="721"/>
      <c r="J137" s="722"/>
      <c r="K137" s="664"/>
      <c r="L137" s="687"/>
      <c r="M137" s="668"/>
      <c r="N137" s="666"/>
      <c r="O137" s="664"/>
      <c r="P137" s="652"/>
    </row>
    <row r="138" spans="4:16" s="380" customFormat="1" ht="8.5" customHeight="1">
      <c r="D138" s="723"/>
      <c r="E138" s="724"/>
      <c r="F138" s="724"/>
      <c r="G138" s="724"/>
      <c r="H138" s="724"/>
      <c r="I138" s="724"/>
      <c r="J138" s="725"/>
      <c r="K138" s="682"/>
      <c r="L138" s="688"/>
      <c r="M138" s="689"/>
      <c r="N138" s="681"/>
      <c r="O138" s="682"/>
      <c r="P138" s="690"/>
    </row>
    <row r="139" spans="4:16" s="428" customFormat="1" ht="8.5" customHeight="1">
      <c r="D139" s="642" t="s">
        <v>2833</v>
      </c>
      <c r="E139" s="718"/>
      <c r="F139" s="718"/>
      <c r="G139" s="718"/>
      <c r="H139" s="718"/>
      <c r="I139" s="718"/>
      <c r="J139" s="719"/>
      <c r="K139" s="663">
        <v>7</v>
      </c>
      <c r="L139" s="687" t="s">
        <v>12</v>
      </c>
      <c r="M139" s="667">
        <v>104</v>
      </c>
      <c r="N139" s="665" t="str">
        <f>IF('из города'!$AG$9=3,"Дол.",IF('из города'!$AG$9=1,"Руб.","Грн."))</f>
        <v>Грн.</v>
      </c>
      <c r="O139" s="663">
        <f>K139*M139</f>
        <v>728</v>
      </c>
      <c r="P139" s="651" t="str">
        <f>IF('из города'!$AG$9=3,"Дол.",IF('из города'!$AG$9=1,"Руб.","Грн."))</f>
        <v>Грн.</v>
      </c>
    </row>
    <row r="140" spans="4:16" s="428" customFormat="1" ht="8.5" customHeight="1">
      <c r="D140" s="720"/>
      <c r="E140" s="721"/>
      <c r="F140" s="721"/>
      <c r="G140" s="721"/>
      <c r="H140" s="721"/>
      <c r="I140" s="721"/>
      <c r="J140" s="722"/>
      <c r="K140" s="664"/>
      <c r="L140" s="687"/>
      <c r="M140" s="668"/>
      <c r="N140" s="666"/>
      <c r="O140" s="664"/>
      <c r="P140" s="652"/>
    </row>
    <row r="141" spans="4:16" s="428" customFormat="1" ht="8.5" customHeight="1">
      <c r="D141" s="723"/>
      <c r="E141" s="724"/>
      <c r="F141" s="724"/>
      <c r="G141" s="724"/>
      <c r="H141" s="724"/>
      <c r="I141" s="724"/>
      <c r="J141" s="725"/>
      <c r="K141" s="682"/>
      <c r="L141" s="688"/>
      <c r="M141" s="689"/>
      <c r="N141" s="681"/>
      <c r="O141" s="682"/>
      <c r="P141" s="690"/>
    </row>
    <row r="142" spans="4:16" ht="7" customHeight="1">
      <c r="D142" s="805" t="s">
        <v>2837</v>
      </c>
      <c r="E142" s="806"/>
      <c r="F142" s="806"/>
      <c r="G142" s="806"/>
      <c r="H142" s="806"/>
      <c r="I142" s="806"/>
      <c r="J142" s="807"/>
      <c r="K142" s="694">
        <v>34</v>
      </c>
      <c r="L142" s="833" t="s">
        <v>2139</v>
      </c>
      <c r="M142" s="667">
        <v>50</v>
      </c>
      <c r="N142" s="665" t="str">
        <f>IF('из города'!$AG$9=3,"Дол.",IF('из города'!$AG$9=1,"Руб.","Грн."))</f>
        <v>Грн.</v>
      </c>
      <c r="O142" s="694">
        <f>K142*M142</f>
        <v>1700</v>
      </c>
      <c r="P142" s="651" t="str">
        <f>IF('из города'!$AG$9=3,"Дол.",IF('из города'!$AG$9=1,"Руб.","Грн."))</f>
        <v>Грн.</v>
      </c>
    </row>
    <row r="143" spans="4:16" ht="7" customHeight="1">
      <c r="D143" s="808"/>
      <c r="E143" s="809"/>
      <c r="F143" s="809"/>
      <c r="G143" s="809"/>
      <c r="H143" s="809"/>
      <c r="I143" s="809"/>
      <c r="J143" s="810"/>
      <c r="K143" s="695"/>
      <c r="L143" s="834"/>
      <c r="M143" s="668"/>
      <c r="N143" s="666"/>
      <c r="O143" s="695"/>
      <c r="P143" s="652"/>
    </row>
    <row r="144" spans="4:16" ht="7" customHeight="1">
      <c r="D144" s="811"/>
      <c r="E144" s="812"/>
      <c r="F144" s="812"/>
      <c r="G144" s="812"/>
      <c r="H144" s="812"/>
      <c r="I144" s="812"/>
      <c r="J144" s="813"/>
      <c r="K144" s="696"/>
      <c r="L144" s="835"/>
      <c r="M144" s="689"/>
      <c r="N144" s="681"/>
      <c r="O144" s="696"/>
      <c r="P144" s="690"/>
    </row>
    <row r="145" spans="4:16" ht="7" customHeight="1">
      <c r="D145" s="805" t="s">
        <v>2838</v>
      </c>
      <c r="E145" s="806"/>
      <c r="F145" s="806"/>
      <c r="G145" s="806"/>
      <c r="H145" s="806"/>
      <c r="I145" s="806"/>
      <c r="J145" s="807"/>
      <c r="K145" s="836">
        <f>0.000089*512*1500</f>
        <v>68.35199999999999</v>
      </c>
      <c r="L145" s="833" t="s">
        <v>2139</v>
      </c>
      <c r="M145" s="667">
        <v>133</v>
      </c>
      <c r="N145" s="665" t="str">
        <f>IF('из города'!$AG$9=3,"Дол.",IF('из города'!$AG$9=1,"Руб.","Грн."))</f>
        <v>Грн.</v>
      </c>
      <c r="O145" s="836">
        <f>K145*M145</f>
        <v>9090.8159999999989</v>
      </c>
      <c r="P145" s="651" t="str">
        <f>IF('из города'!$AG$9=3,"Дол.",IF('из города'!$AG$9=1,"Руб.","Грн."))</f>
        <v>Грн.</v>
      </c>
    </row>
    <row r="146" spans="4:16" ht="7" customHeight="1">
      <c r="D146" s="808"/>
      <c r="E146" s="809"/>
      <c r="F146" s="809"/>
      <c r="G146" s="809"/>
      <c r="H146" s="809"/>
      <c r="I146" s="809"/>
      <c r="J146" s="810"/>
      <c r="K146" s="837"/>
      <c r="L146" s="834"/>
      <c r="M146" s="668"/>
      <c r="N146" s="666"/>
      <c r="O146" s="837"/>
      <c r="P146" s="652"/>
    </row>
    <row r="147" spans="4:16" ht="7" customHeight="1">
      <c r="D147" s="811"/>
      <c r="E147" s="812"/>
      <c r="F147" s="812"/>
      <c r="G147" s="812"/>
      <c r="H147" s="812"/>
      <c r="I147" s="812"/>
      <c r="J147" s="813"/>
      <c r="K147" s="838"/>
      <c r="L147" s="835"/>
      <c r="M147" s="689"/>
      <c r="N147" s="681"/>
      <c r="O147" s="838"/>
      <c r="P147" s="690"/>
    </row>
    <row r="148" spans="4:16" s="428" customFormat="1" ht="7" customHeight="1">
      <c r="D148" s="805" t="s">
        <v>2845</v>
      </c>
      <c r="E148" s="806"/>
      <c r="F148" s="806"/>
      <c r="G148" s="806"/>
      <c r="H148" s="806"/>
      <c r="I148" s="806"/>
      <c r="J148" s="807"/>
      <c r="K148" s="836">
        <v>3</v>
      </c>
      <c r="L148" s="833" t="s">
        <v>13</v>
      </c>
      <c r="M148" s="667">
        <v>400</v>
      </c>
      <c r="N148" s="665" t="str">
        <f>IF('из города'!$AG$9=3,"Дол.",IF('из города'!$AG$9=1,"Руб.","Грн."))</f>
        <v>Грн.</v>
      </c>
      <c r="O148" s="836">
        <f>K148*M148</f>
        <v>1200</v>
      </c>
      <c r="P148" s="651" t="str">
        <f>IF('из города'!$AG$9=3,"Дол.",IF('из города'!$AG$9=1,"Руб.","Грн."))</f>
        <v>Грн.</v>
      </c>
    </row>
    <row r="149" spans="4:16" s="428" customFormat="1" ht="7" customHeight="1">
      <c r="D149" s="808"/>
      <c r="E149" s="809"/>
      <c r="F149" s="809"/>
      <c r="G149" s="809"/>
      <c r="H149" s="809"/>
      <c r="I149" s="809"/>
      <c r="J149" s="810"/>
      <c r="K149" s="837"/>
      <c r="L149" s="834"/>
      <c r="M149" s="668"/>
      <c r="N149" s="666"/>
      <c r="O149" s="837"/>
      <c r="P149" s="652"/>
    </row>
    <row r="150" spans="4:16" s="428" customFormat="1" ht="7" customHeight="1">
      <c r="D150" s="811"/>
      <c r="E150" s="812"/>
      <c r="F150" s="812"/>
      <c r="G150" s="812"/>
      <c r="H150" s="812"/>
      <c r="I150" s="812"/>
      <c r="J150" s="813"/>
      <c r="K150" s="838"/>
      <c r="L150" s="835"/>
      <c r="M150" s="689"/>
      <c r="N150" s="681"/>
      <c r="O150" s="838"/>
      <c r="P150" s="690"/>
    </row>
    <row r="151" spans="4:16" s="428" customFormat="1" ht="7" customHeight="1">
      <c r="D151" s="805" t="s">
        <v>2846</v>
      </c>
      <c r="E151" s="806"/>
      <c r="F151" s="806"/>
      <c r="G151" s="806"/>
      <c r="H151" s="806"/>
      <c r="I151" s="806"/>
      <c r="J151" s="807"/>
      <c r="K151" s="836">
        <v>26</v>
      </c>
      <c r="L151" s="833" t="s">
        <v>2619</v>
      </c>
      <c r="M151" s="667">
        <v>35</v>
      </c>
      <c r="N151" s="665" t="str">
        <f>IF('из города'!$AG$9=3,"Дол.",IF('из города'!$AG$9=1,"Руб.","Грн."))</f>
        <v>Грн.</v>
      </c>
      <c r="O151" s="836">
        <f>K151*M151</f>
        <v>910</v>
      </c>
      <c r="P151" s="651" t="str">
        <f>IF('из города'!$AG$9=3,"Дол.",IF('из города'!$AG$9=1,"Руб.","Грн."))</f>
        <v>Грн.</v>
      </c>
    </row>
    <row r="152" spans="4:16" s="428" customFormat="1" ht="7" customHeight="1">
      <c r="D152" s="808"/>
      <c r="E152" s="809"/>
      <c r="F152" s="809"/>
      <c r="G152" s="809"/>
      <c r="H152" s="809"/>
      <c r="I152" s="809"/>
      <c r="J152" s="810"/>
      <c r="K152" s="837"/>
      <c r="L152" s="834"/>
      <c r="M152" s="668"/>
      <c r="N152" s="666"/>
      <c r="O152" s="837"/>
      <c r="P152" s="652"/>
    </row>
    <row r="153" spans="4:16" s="428" customFormat="1" ht="7" customHeight="1">
      <c r="D153" s="811"/>
      <c r="E153" s="812"/>
      <c r="F153" s="812"/>
      <c r="G153" s="812"/>
      <c r="H153" s="812"/>
      <c r="I153" s="812"/>
      <c r="J153" s="813"/>
      <c r="K153" s="838"/>
      <c r="L153" s="835"/>
      <c r="M153" s="689"/>
      <c r="N153" s="681"/>
      <c r="O153" s="838"/>
      <c r="P153" s="690"/>
    </row>
    <row r="154" spans="4:16" s="428" customFormat="1" ht="10" customHeight="1">
      <c r="D154" s="805" t="s">
        <v>2843</v>
      </c>
      <c r="E154" s="806"/>
      <c r="F154" s="806"/>
      <c r="G154" s="806"/>
      <c r="H154" s="806"/>
      <c r="I154" s="806"/>
      <c r="J154" s="807"/>
      <c r="K154" s="694">
        <v>5</v>
      </c>
      <c r="L154" s="833" t="s">
        <v>2155</v>
      </c>
      <c r="M154" s="667">
        <v>25</v>
      </c>
      <c r="N154" s="665" t="str">
        <f>IF('из города'!$AG$9=3,"Дол.",IF('из города'!$AG$9=1,"Руб.","Грн."))</f>
        <v>Грн.</v>
      </c>
      <c r="O154" s="694">
        <f>K154*M154</f>
        <v>125</v>
      </c>
      <c r="P154" s="651" t="str">
        <f>IF('из города'!$AG$9=3,"Дол.",IF('из города'!$AG$9=1,"Руб.","Грн."))</f>
        <v>Грн.</v>
      </c>
    </row>
    <row r="155" spans="4:16" s="428" customFormat="1" ht="7" customHeight="1">
      <c r="D155" s="808"/>
      <c r="E155" s="809"/>
      <c r="F155" s="809"/>
      <c r="G155" s="809"/>
      <c r="H155" s="809"/>
      <c r="I155" s="809"/>
      <c r="J155" s="810"/>
      <c r="K155" s="695"/>
      <c r="L155" s="834"/>
      <c r="M155" s="668"/>
      <c r="N155" s="666"/>
      <c r="O155" s="695"/>
      <c r="P155" s="652"/>
    </row>
    <row r="156" spans="4:16" s="428" customFormat="1" ht="6.5" customHeight="1">
      <c r="D156" s="811"/>
      <c r="E156" s="812"/>
      <c r="F156" s="812"/>
      <c r="G156" s="812"/>
      <c r="H156" s="812"/>
      <c r="I156" s="812"/>
      <c r="J156" s="813"/>
      <c r="K156" s="696"/>
      <c r="L156" s="835"/>
      <c r="M156" s="689"/>
      <c r="N156" s="681"/>
      <c r="O156" s="696"/>
      <c r="P156" s="690"/>
    </row>
    <row r="157" spans="4:16" s="428" customFormat="1" ht="7" customHeight="1">
      <c r="D157" s="805" t="s">
        <v>2844</v>
      </c>
      <c r="E157" s="806"/>
      <c r="F157" s="806"/>
      <c r="G157" s="806"/>
      <c r="H157" s="806"/>
      <c r="I157" s="806"/>
      <c r="J157" s="807"/>
      <c r="K157" s="694">
        <v>7.2</v>
      </c>
      <c r="L157" s="833" t="s">
        <v>2155</v>
      </c>
      <c r="M157" s="667">
        <v>80</v>
      </c>
      <c r="N157" s="665" t="str">
        <f>IF('из города'!$AG$9=3,"Дол.",IF('из города'!$AG$9=1,"Руб.","Грн."))</f>
        <v>Грн.</v>
      </c>
      <c r="O157" s="694">
        <f>K157*M157</f>
        <v>576</v>
      </c>
      <c r="P157" s="651" t="str">
        <f>IF('из города'!$AG$9=3,"Дол.",IF('из города'!$AG$9=1,"Руб.","Грн."))</f>
        <v>Грн.</v>
      </c>
    </row>
    <row r="158" spans="4:16" s="428" customFormat="1" ht="7" customHeight="1">
      <c r="D158" s="808"/>
      <c r="E158" s="809"/>
      <c r="F158" s="809"/>
      <c r="G158" s="809"/>
      <c r="H158" s="809"/>
      <c r="I158" s="809"/>
      <c r="J158" s="810"/>
      <c r="K158" s="695"/>
      <c r="L158" s="834"/>
      <c r="M158" s="668"/>
      <c r="N158" s="666"/>
      <c r="O158" s="695"/>
      <c r="P158" s="652"/>
    </row>
    <row r="159" spans="4:16" s="428" customFormat="1" ht="6.5" customHeight="1">
      <c r="D159" s="811"/>
      <c r="E159" s="812"/>
      <c r="F159" s="812"/>
      <c r="G159" s="812"/>
      <c r="H159" s="812"/>
      <c r="I159" s="812"/>
      <c r="J159" s="813"/>
      <c r="K159" s="696"/>
      <c r="L159" s="835"/>
      <c r="M159" s="689"/>
      <c r="N159" s="681"/>
      <c r="O159" s="696"/>
      <c r="P159" s="690"/>
    </row>
    <row r="160" spans="4:16" s="428" customFormat="1" ht="11" customHeight="1">
      <c r="D160" s="805" t="s">
        <v>2841</v>
      </c>
      <c r="E160" s="806"/>
      <c r="F160" s="806"/>
      <c r="G160" s="806"/>
      <c r="H160" s="806"/>
      <c r="I160" s="806"/>
      <c r="J160" s="807"/>
      <c r="K160" s="667">
        <v>57</v>
      </c>
      <c r="L160" s="833" t="s">
        <v>2139</v>
      </c>
      <c r="M160" s="667">
        <v>21</v>
      </c>
      <c r="N160" s="665" t="str">
        <f>IF('из города'!$AG$9=3,"Дол.",IF('из города'!$AG$9=1,"Руб.","Грн."))</f>
        <v>Грн.</v>
      </c>
      <c r="O160" s="836">
        <f>K160*M160</f>
        <v>1197</v>
      </c>
      <c r="P160" s="651" t="str">
        <f>IF('из города'!$AG$9=3,"Дол.",IF('из города'!$AG$9=1,"Руб.","Грн."))</f>
        <v>Грн.</v>
      </c>
    </row>
    <row r="161" spans="4:16" s="428" customFormat="1" ht="7" customHeight="1">
      <c r="D161" s="808"/>
      <c r="E161" s="809"/>
      <c r="F161" s="809"/>
      <c r="G161" s="809"/>
      <c r="H161" s="809"/>
      <c r="I161" s="809"/>
      <c r="J161" s="810"/>
      <c r="K161" s="668"/>
      <c r="L161" s="834"/>
      <c r="M161" s="668"/>
      <c r="N161" s="666"/>
      <c r="O161" s="837"/>
      <c r="P161" s="652"/>
    </row>
    <row r="162" spans="4:16" s="428" customFormat="1" ht="7" customHeight="1">
      <c r="D162" s="811"/>
      <c r="E162" s="812"/>
      <c r="F162" s="812"/>
      <c r="G162" s="812"/>
      <c r="H162" s="812"/>
      <c r="I162" s="812"/>
      <c r="J162" s="813"/>
      <c r="K162" s="689"/>
      <c r="L162" s="835"/>
      <c r="M162" s="689"/>
      <c r="N162" s="681"/>
      <c r="O162" s="838"/>
      <c r="P162" s="690"/>
    </row>
    <row r="163" spans="4:16" s="428" customFormat="1" ht="6.5" customHeight="1">
      <c r="D163" s="805" t="s">
        <v>2842</v>
      </c>
      <c r="E163" s="806"/>
      <c r="F163" s="806"/>
      <c r="G163" s="806"/>
      <c r="H163" s="806"/>
      <c r="I163" s="806"/>
      <c r="J163" s="807"/>
      <c r="K163" s="667">
        <v>10</v>
      </c>
      <c r="L163" s="833" t="s">
        <v>16</v>
      </c>
      <c r="M163" s="667">
        <v>120</v>
      </c>
      <c r="N163" s="665" t="str">
        <f>IF('из города'!$AG$9=3,"Дол.",IF('из города'!$AG$9=1,"Руб.","Грн."))</f>
        <v>Грн.</v>
      </c>
      <c r="O163" s="836">
        <f>K163*M163</f>
        <v>1200</v>
      </c>
      <c r="P163" s="651" t="str">
        <f>IF('из города'!$AG$9=3,"Дол.",IF('из города'!$AG$9=1,"Руб.","Грн."))</f>
        <v>Грн.</v>
      </c>
    </row>
    <row r="164" spans="4:16" s="428" customFormat="1" ht="6.5" customHeight="1">
      <c r="D164" s="808"/>
      <c r="E164" s="809"/>
      <c r="F164" s="809"/>
      <c r="G164" s="809"/>
      <c r="H164" s="809"/>
      <c r="I164" s="809"/>
      <c r="J164" s="810"/>
      <c r="K164" s="668"/>
      <c r="L164" s="834"/>
      <c r="M164" s="668"/>
      <c r="N164" s="666"/>
      <c r="O164" s="837"/>
      <c r="P164" s="652"/>
    </row>
    <row r="165" spans="4:16" s="428" customFormat="1" ht="6.5" customHeight="1">
      <c r="D165" s="811"/>
      <c r="E165" s="812"/>
      <c r="F165" s="812"/>
      <c r="G165" s="812"/>
      <c r="H165" s="812"/>
      <c r="I165" s="812"/>
      <c r="J165" s="813"/>
      <c r="K165" s="689"/>
      <c r="L165" s="835"/>
      <c r="M165" s="689"/>
      <c r="N165" s="681"/>
      <c r="O165" s="838"/>
      <c r="P165" s="690"/>
    </row>
    <row r="166" spans="4:16" s="428" customFormat="1" ht="6.5" customHeight="1">
      <c r="D166" s="805" t="s">
        <v>2842</v>
      </c>
      <c r="E166" s="806"/>
      <c r="F166" s="806"/>
      <c r="G166" s="806"/>
      <c r="H166" s="806"/>
      <c r="I166" s="806"/>
      <c r="J166" s="807"/>
      <c r="K166" s="667">
        <v>120</v>
      </c>
      <c r="L166" s="833" t="s">
        <v>16</v>
      </c>
      <c r="M166" s="667">
        <v>5</v>
      </c>
      <c r="N166" s="665" t="str">
        <f>IF('из города'!$AG$9=3,"Дол.",IF('из города'!$AG$9=1,"Руб.","Грн."))</f>
        <v>Грн.</v>
      </c>
      <c r="O166" s="836">
        <f>K166*M166</f>
        <v>600</v>
      </c>
      <c r="P166" s="651" t="str">
        <f>IF('из города'!$AG$9=3,"Дол.",IF('из города'!$AG$9=1,"Руб.","Грн."))</f>
        <v>Грн.</v>
      </c>
    </row>
    <row r="167" spans="4:16" s="428" customFormat="1" ht="6.5" customHeight="1">
      <c r="D167" s="808"/>
      <c r="E167" s="809"/>
      <c r="F167" s="809"/>
      <c r="G167" s="809"/>
      <c r="H167" s="809"/>
      <c r="I167" s="809"/>
      <c r="J167" s="810"/>
      <c r="K167" s="668"/>
      <c r="L167" s="834"/>
      <c r="M167" s="668"/>
      <c r="N167" s="666"/>
      <c r="O167" s="837"/>
      <c r="P167" s="652"/>
    </row>
    <row r="168" spans="4:16" s="428" customFormat="1" ht="6.5" customHeight="1">
      <c r="D168" s="811"/>
      <c r="E168" s="812"/>
      <c r="F168" s="812"/>
      <c r="G168" s="812"/>
      <c r="H168" s="812"/>
      <c r="I168" s="812"/>
      <c r="J168" s="813"/>
      <c r="K168" s="689"/>
      <c r="L168" s="835"/>
      <c r="M168" s="689"/>
      <c r="N168" s="681"/>
      <c r="O168" s="838"/>
      <c r="P168" s="690"/>
    </row>
    <row r="169" spans="4:16" s="428" customFormat="1" ht="6.5" customHeight="1">
      <c r="D169" s="805" t="s">
        <v>2853</v>
      </c>
      <c r="E169" s="806"/>
      <c r="F169" s="806"/>
      <c r="G169" s="806"/>
      <c r="H169" s="806"/>
      <c r="I169" s="806"/>
      <c r="J169" s="807"/>
      <c r="K169" s="667">
        <v>29</v>
      </c>
      <c r="L169" s="833" t="s">
        <v>13</v>
      </c>
      <c r="M169" s="667">
        <v>0</v>
      </c>
      <c r="N169" s="665" t="str">
        <f>IF('из города'!$AG$9=3,"Дол.",IF('из города'!$AG$9=1,"Руб.","Грн."))</f>
        <v>Грн.</v>
      </c>
      <c r="O169" s="836">
        <f>K169*M169</f>
        <v>0</v>
      </c>
      <c r="P169" s="651" t="str">
        <f>IF('из города'!$AG$9=3,"Дол.",IF('из города'!$AG$9=1,"Руб.","Грн."))</f>
        <v>Грн.</v>
      </c>
    </row>
    <row r="170" spans="4:16" s="428" customFormat="1" ht="6.5" customHeight="1">
      <c r="D170" s="808"/>
      <c r="E170" s="809"/>
      <c r="F170" s="809"/>
      <c r="G170" s="809"/>
      <c r="H170" s="809"/>
      <c r="I170" s="809"/>
      <c r="J170" s="810"/>
      <c r="K170" s="668"/>
      <c r="L170" s="834"/>
      <c r="M170" s="668"/>
      <c r="N170" s="666"/>
      <c r="O170" s="837"/>
      <c r="P170" s="652"/>
    </row>
    <row r="171" spans="4:16" s="428" customFormat="1" ht="6.5" customHeight="1">
      <c r="D171" s="811"/>
      <c r="E171" s="812"/>
      <c r="F171" s="812"/>
      <c r="G171" s="812"/>
      <c r="H171" s="812"/>
      <c r="I171" s="812"/>
      <c r="J171" s="813"/>
      <c r="K171" s="689"/>
      <c r="L171" s="835"/>
      <c r="M171" s="689"/>
      <c r="N171" s="681"/>
      <c r="O171" s="838"/>
      <c r="P171" s="690"/>
    </row>
    <row r="172" spans="4:16" ht="7" customHeight="1">
      <c r="D172" s="796" t="s">
        <v>2115</v>
      </c>
      <c r="E172" s="797"/>
      <c r="F172" s="797"/>
      <c r="G172" s="797"/>
      <c r="H172" s="797"/>
      <c r="I172" s="797"/>
      <c r="J172" s="798"/>
      <c r="K172" s="667">
        <v>0</v>
      </c>
      <c r="L172" s="661" t="s">
        <v>12</v>
      </c>
      <c r="M172" s="667">
        <v>0</v>
      </c>
      <c r="N172" s="665" t="str">
        <f>IF('из города'!$AG$9=3,"Дол.",IF('из города'!$AG$9=1,"Руб.","Грн."))</f>
        <v>Грн.</v>
      </c>
      <c r="O172" s="694">
        <f>K172*M172</f>
        <v>0</v>
      </c>
      <c r="P172" s="651" t="str">
        <f>IF('из города'!$AG$9=3,"Дол.",IF('из города'!$AG$9=1,"Руб.","Грн."))</f>
        <v>Грн.</v>
      </c>
    </row>
    <row r="173" spans="4:16" ht="7" customHeight="1">
      <c r="D173" s="799"/>
      <c r="E173" s="800"/>
      <c r="F173" s="800"/>
      <c r="G173" s="800"/>
      <c r="H173" s="800"/>
      <c r="I173" s="800"/>
      <c r="J173" s="801"/>
      <c r="K173" s="668"/>
      <c r="L173" s="662"/>
      <c r="M173" s="668"/>
      <c r="N173" s="666"/>
      <c r="O173" s="695"/>
      <c r="P173" s="652"/>
    </row>
    <row r="174" spans="4:16" ht="7" customHeight="1">
      <c r="D174" s="802"/>
      <c r="E174" s="803"/>
      <c r="F174" s="803"/>
      <c r="G174" s="803"/>
      <c r="H174" s="803"/>
      <c r="I174" s="803"/>
      <c r="J174" s="804"/>
      <c r="K174" s="689"/>
      <c r="L174" s="703"/>
      <c r="M174" s="689"/>
      <c r="N174" s="681"/>
      <c r="O174" s="696"/>
      <c r="P174" s="690"/>
    </row>
    <row r="175" spans="4:16" s="428" customFormat="1" ht="7" customHeight="1">
      <c r="D175" s="796" t="s">
        <v>2115</v>
      </c>
      <c r="E175" s="797"/>
      <c r="F175" s="797"/>
      <c r="G175" s="797"/>
      <c r="H175" s="797"/>
      <c r="I175" s="797"/>
      <c r="J175" s="798"/>
      <c r="K175" s="667">
        <v>0</v>
      </c>
      <c r="L175" s="661" t="s">
        <v>12</v>
      </c>
      <c r="M175" s="667">
        <v>0</v>
      </c>
      <c r="N175" s="665" t="str">
        <f>IF('из города'!$AG$9=3,"Дол.",IF('из города'!$AG$9=1,"Руб.","Грн."))</f>
        <v>Грн.</v>
      </c>
      <c r="O175" s="694">
        <f>K175*M175</f>
        <v>0</v>
      </c>
      <c r="P175" s="651" t="str">
        <f>IF('из города'!$AG$9=3,"Дол.",IF('из города'!$AG$9=1,"Руб.","Грн."))</f>
        <v>Грн.</v>
      </c>
    </row>
    <row r="176" spans="4:16" s="428" customFormat="1" ht="7" customHeight="1">
      <c r="D176" s="799"/>
      <c r="E176" s="800"/>
      <c r="F176" s="800"/>
      <c r="G176" s="800"/>
      <c r="H176" s="800"/>
      <c r="I176" s="800"/>
      <c r="J176" s="801"/>
      <c r="K176" s="668"/>
      <c r="L176" s="662"/>
      <c r="M176" s="668"/>
      <c r="N176" s="666"/>
      <c r="O176" s="695"/>
      <c r="P176" s="652"/>
    </row>
    <row r="177" spans="4:16" s="428" customFormat="1" ht="7" customHeight="1">
      <c r="D177" s="802"/>
      <c r="E177" s="803"/>
      <c r="F177" s="803"/>
      <c r="G177" s="803"/>
      <c r="H177" s="803"/>
      <c r="I177" s="803"/>
      <c r="J177" s="804"/>
      <c r="K177" s="689"/>
      <c r="L177" s="703"/>
      <c r="M177" s="689"/>
      <c r="N177" s="681"/>
      <c r="O177" s="696"/>
      <c r="P177" s="690"/>
    </row>
    <row r="178" spans="4:16" s="428" customFormat="1" ht="7" customHeight="1">
      <c r="D178" s="796" t="s">
        <v>2115</v>
      </c>
      <c r="E178" s="797"/>
      <c r="F178" s="797"/>
      <c r="G178" s="797"/>
      <c r="H178" s="797"/>
      <c r="I178" s="797"/>
      <c r="J178" s="798"/>
      <c r="K178" s="667">
        <v>0</v>
      </c>
      <c r="L178" s="661" t="s">
        <v>12</v>
      </c>
      <c r="M178" s="667">
        <v>0</v>
      </c>
      <c r="N178" s="665" t="str">
        <f>IF('из города'!$AG$9=3,"Дол.",IF('из города'!$AG$9=1,"Руб.","Грн."))</f>
        <v>Грн.</v>
      </c>
      <c r="O178" s="694">
        <f>K178*M178</f>
        <v>0</v>
      </c>
      <c r="P178" s="651" t="str">
        <f>IF('из города'!$AG$9=3,"Дол.",IF('из города'!$AG$9=1,"Руб.","Грн."))</f>
        <v>Грн.</v>
      </c>
    </row>
    <row r="179" spans="4:16" s="428" customFormat="1" ht="7" customHeight="1">
      <c r="D179" s="799"/>
      <c r="E179" s="800"/>
      <c r="F179" s="800"/>
      <c r="G179" s="800"/>
      <c r="H179" s="800"/>
      <c r="I179" s="800"/>
      <c r="J179" s="801"/>
      <c r="K179" s="668"/>
      <c r="L179" s="662"/>
      <c r="M179" s="668"/>
      <c r="N179" s="666"/>
      <c r="O179" s="695"/>
      <c r="P179" s="652"/>
    </row>
    <row r="180" spans="4:16" s="428" customFormat="1" ht="7" customHeight="1">
      <c r="D180" s="802"/>
      <c r="E180" s="803"/>
      <c r="F180" s="803"/>
      <c r="G180" s="803"/>
      <c r="H180" s="803"/>
      <c r="I180" s="803"/>
      <c r="J180" s="804"/>
      <c r="K180" s="689"/>
      <c r="L180" s="703"/>
      <c r="M180" s="689"/>
      <c r="N180" s="681"/>
      <c r="O180" s="696"/>
      <c r="P180" s="690"/>
    </row>
    <row r="181" spans="4:16" s="428" customFormat="1" ht="7" customHeight="1">
      <c r="D181" s="796" t="s">
        <v>2115</v>
      </c>
      <c r="E181" s="797"/>
      <c r="F181" s="797"/>
      <c r="G181" s="797"/>
      <c r="H181" s="797"/>
      <c r="I181" s="797"/>
      <c r="J181" s="798"/>
      <c r="K181" s="667">
        <v>0</v>
      </c>
      <c r="L181" s="661" t="s">
        <v>12</v>
      </c>
      <c r="M181" s="667">
        <v>0</v>
      </c>
      <c r="N181" s="665" t="str">
        <f>IF('из города'!$AG$9=3,"Дол.",IF('из города'!$AG$9=1,"Руб.","Грн."))</f>
        <v>Грн.</v>
      </c>
      <c r="O181" s="694">
        <f>K181*M181</f>
        <v>0</v>
      </c>
      <c r="P181" s="651" t="str">
        <f>IF('из города'!$AG$9=3,"Дол.",IF('из города'!$AG$9=1,"Руб.","Грн."))</f>
        <v>Грн.</v>
      </c>
    </row>
    <row r="182" spans="4:16" s="428" customFormat="1" ht="7" customHeight="1">
      <c r="D182" s="799"/>
      <c r="E182" s="800"/>
      <c r="F182" s="800"/>
      <c r="G182" s="800"/>
      <c r="H182" s="800"/>
      <c r="I182" s="800"/>
      <c r="J182" s="801"/>
      <c r="K182" s="668"/>
      <c r="L182" s="662"/>
      <c r="M182" s="668"/>
      <c r="N182" s="666"/>
      <c r="O182" s="695"/>
      <c r="P182" s="652"/>
    </row>
    <row r="183" spans="4:16" s="428" customFormat="1" ht="7" customHeight="1">
      <c r="D183" s="802"/>
      <c r="E183" s="803"/>
      <c r="F183" s="803"/>
      <c r="G183" s="803"/>
      <c r="H183" s="803"/>
      <c r="I183" s="803"/>
      <c r="J183" s="804"/>
      <c r="K183" s="689"/>
      <c r="L183" s="703"/>
      <c r="M183" s="689"/>
      <c r="N183" s="681"/>
      <c r="O183" s="696"/>
      <c r="P183" s="690"/>
    </row>
    <row r="184" spans="4:16" s="428" customFormat="1" ht="7" customHeight="1">
      <c r="D184" s="796" t="s">
        <v>2115</v>
      </c>
      <c r="E184" s="797"/>
      <c r="F184" s="797"/>
      <c r="G184" s="797"/>
      <c r="H184" s="797"/>
      <c r="I184" s="797"/>
      <c r="J184" s="798"/>
      <c r="K184" s="667">
        <v>0</v>
      </c>
      <c r="L184" s="661" t="s">
        <v>12</v>
      </c>
      <c r="M184" s="667">
        <v>0</v>
      </c>
      <c r="N184" s="665" t="str">
        <f>IF('из города'!$AG$9=3,"Дол.",IF('из города'!$AG$9=1,"Руб.","Грн."))</f>
        <v>Грн.</v>
      </c>
      <c r="O184" s="694">
        <f>K184*M184</f>
        <v>0</v>
      </c>
      <c r="P184" s="651" t="str">
        <f>IF('из города'!$AG$9=3,"Дол.",IF('из города'!$AG$9=1,"Руб.","Грн."))</f>
        <v>Грн.</v>
      </c>
    </row>
    <row r="185" spans="4:16" s="428" customFormat="1" ht="7" customHeight="1">
      <c r="D185" s="799"/>
      <c r="E185" s="800"/>
      <c r="F185" s="800"/>
      <c r="G185" s="800"/>
      <c r="H185" s="800"/>
      <c r="I185" s="800"/>
      <c r="J185" s="801"/>
      <c r="K185" s="668"/>
      <c r="L185" s="662"/>
      <c r="M185" s="668"/>
      <c r="N185" s="666"/>
      <c r="O185" s="695"/>
      <c r="P185" s="652"/>
    </row>
    <row r="186" spans="4:16" s="428" customFormat="1" ht="7" customHeight="1">
      <c r="D186" s="802"/>
      <c r="E186" s="803"/>
      <c r="F186" s="803"/>
      <c r="G186" s="803"/>
      <c r="H186" s="803"/>
      <c r="I186" s="803"/>
      <c r="J186" s="804"/>
      <c r="K186" s="689"/>
      <c r="L186" s="703"/>
      <c r="M186" s="689"/>
      <c r="N186" s="681"/>
      <c r="O186" s="696"/>
      <c r="P186" s="690"/>
    </row>
    <row r="187" spans="4:16" s="428" customFormat="1" ht="7" customHeight="1">
      <c r="D187" s="796" t="s">
        <v>2115</v>
      </c>
      <c r="E187" s="797"/>
      <c r="F187" s="797"/>
      <c r="G187" s="797"/>
      <c r="H187" s="797"/>
      <c r="I187" s="797"/>
      <c r="J187" s="798"/>
      <c r="K187" s="667">
        <v>0</v>
      </c>
      <c r="L187" s="661" t="s">
        <v>12</v>
      </c>
      <c r="M187" s="667">
        <v>0</v>
      </c>
      <c r="N187" s="665" t="str">
        <f>IF('из города'!$AG$9=3,"Дол.",IF('из города'!$AG$9=1,"Руб.","Грн."))</f>
        <v>Грн.</v>
      </c>
      <c r="O187" s="694">
        <f>K187*M187</f>
        <v>0</v>
      </c>
      <c r="P187" s="651" t="str">
        <f>IF('из города'!$AG$9=3,"Дол.",IF('из города'!$AG$9=1,"Руб.","Грн."))</f>
        <v>Грн.</v>
      </c>
    </row>
    <row r="188" spans="4:16" s="428" customFormat="1" ht="7" customHeight="1">
      <c r="D188" s="799"/>
      <c r="E188" s="800"/>
      <c r="F188" s="800"/>
      <c r="G188" s="800"/>
      <c r="H188" s="800"/>
      <c r="I188" s="800"/>
      <c r="J188" s="801"/>
      <c r="K188" s="668"/>
      <c r="L188" s="662"/>
      <c r="M188" s="668"/>
      <c r="N188" s="666"/>
      <c r="O188" s="695"/>
      <c r="P188" s="652"/>
    </row>
    <row r="189" spans="4:16" s="428" customFormat="1" ht="7" customHeight="1">
      <c r="D189" s="802"/>
      <c r="E189" s="803"/>
      <c r="F189" s="803"/>
      <c r="G189" s="803"/>
      <c r="H189" s="803"/>
      <c r="I189" s="803"/>
      <c r="J189" s="804"/>
      <c r="K189" s="689"/>
      <c r="L189" s="703"/>
      <c r="M189" s="689"/>
      <c r="N189" s="681"/>
      <c r="O189" s="696"/>
      <c r="P189" s="690"/>
    </row>
    <row r="190" spans="4:16" s="428" customFormat="1" ht="7" customHeight="1">
      <c r="D190" s="805" t="s">
        <v>2664</v>
      </c>
      <c r="E190" s="806"/>
      <c r="F190" s="806"/>
      <c r="G190" s="806"/>
      <c r="H190" s="806"/>
      <c r="I190" s="806"/>
      <c r="J190" s="807"/>
      <c r="K190" s="694">
        <v>4</v>
      </c>
      <c r="L190" s="833" t="s">
        <v>2676</v>
      </c>
      <c r="M190" s="667">
        <v>11</v>
      </c>
      <c r="N190" s="665" t="str">
        <f>IF('из города'!$AG$9=3,"Дол.",IF('из города'!$AG$9=1,"Руб.","Грн."))</f>
        <v>Грн.</v>
      </c>
      <c r="O190" s="694">
        <f>K190*M190</f>
        <v>44</v>
      </c>
      <c r="P190" s="651" t="str">
        <f>IF('из города'!$AG$9=3,"Дол.",IF('из города'!$AG$9=1,"Руб.","Грн."))</f>
        <v>Грн.</v>
      </c>
    </row>
    <row r="191" spans="4:16" s="428" customFormat="1" ht="7" customHeight="1">
      <c r="D191" s="808"/>
      <c r="E191" s="809"/>
      <c r="F191" s="809"/>
      <c r="G191" s="809"/>
      <c r="H191" s="809"/>
      <c r="I191" s="809"/>
      <c r="J191" s="810"/>
      <c r="K191" s="695"/>
      <c r="L191" s="834"/>
      <c r="M191" s="668"/>
      <c r="N191" s="666"/>
      <c r="O191" s="695"/>
      <c r="P191" s="652"/>
    </row>
    <row r="192" spans="4:16" s="428" customFormat="1" ht="7" customHeight="1">
      <c r="D192" s="811"/>
      <c r="E192" s="812"/>
      <c r="F192" s="812"/>
      <c r="G192" s="812"/>
      <c r="H192" s="812"/>
      <c r="I192" s="812"/>
      <c r="J192" s="813"/>
      <c r="K192" s="696"/>
      <c r="L192" s="835"/>
      <c r="M192" s="689"/>
      <c r="N192" s="681"/>
      <c r="O192" s="696"/>
      <c r="P192" s="690"/>
    </row>
    <row r="193" spans="4:16" s="428" customFormat="1" ht="7" customHeight="1">
      <c r="D193" s="805" t="s">
        <v>2653</v>
      </c>
      <c r="E193" s="806"/>
      <c r="F193" s="806"/>
      <c r="G193" s="806"/>
      <c r="H193" s="806"/>
      <c r="I193" s="806"/>
      <c r="J193" s="807"/>
      <c r="K193" s="694">
        <v>2</v>
      </c>
      <c r="L193" s="833" t="s">
        <v>16</v>
      </c>
      <c r="M193" s="667">
        <v>20</v>
      </c>
      <c r="N193" s="665" t="str">
        <f>IF('из города'!$AG$9=3,"Дол.",IF('из города'!$AG$9=1,"Руб.","Грн."))</f>
        <v>Грн.</v>
      </c>
      <c r="O193" s="694">
        <f>K193*M193</f>
        <v>40</v>
      </c>
      <c r="P193" s="651" t="str">
        <f>IF('из города'!$AG$9=3,"Дол.",IF('из города'!$AG$9=1,"Руб.","Грн."))</f>
        <v>Грн.</v>
      </c>
    </row>
    <row r="194" spans="4:16" s="428" customFormat="1" ht="7" customHeight="1">
      <c r="D194" s="808"/>
      <c r="E194" s="809"/>
      <c r="F194" s="809"/>
      <c r="G194" s="809"/>
      <c r="H194" s="809"/>
      <c r="I194" s="809"/>
      <c r="J194" s="810"/>
      <c r="K194" s="695"/>
      <c r="L194" s="834"/>
      <c r="M194" s="668"/>
      <c r="N194" s="666"/>
      <c r="O194" s="695"/>
      <c r="P194" s="652"/>
    </row>
    <row r="195" spans="4:16" s="428" customFormat="1" ht="7" customHeight="1">
      <c r="D195" s="811"/>
      <c r="E195" s="812"/>
      <c r="F195" s="812"/>
      <c r="G195" s="812"/>
      <c r="H195" s="812"/>
      <c r="I195" s="812"/>
      <c r="J195" s="813"/>
      <c r="K195" s="696"/>
      <c r="L195" s="835"/>
      <c r="M195" s="689"/>
      <c r="N195" s="681"/>
      <c r="O195" s="696"/>
      <c r="P195" s="690"/>
    </row>
    <row r="196" spans="4:16" s="428" customFormat="1" ht="7" customHeight="1">
      <c r="D196" s="805" t="s">
        <v>2652</v>
      </c>
      <c r="E196" s="806"/>
      <c r="F196" s="806"/>
      <c r="G196" s="806"/>
      <c r="H196" s="806"/>
      <c r="I196" s="806"/>
      <c r="J196" s="807"/>
      <c r="K196" s="694">
        <v>10</v>
      </c>
      <c r="L196" s="833" t="s">
        <v>23</v>
      </c>
      <c r="M196" s="667">
        <v>2</v>
      </c>
      <c r="N196" s="665" t="str">
        <f>IF('из города'!$AG$9=3,"Дол.",IF('из города'!$AG$9=1,"Руб.","Грн."))</f>
        <v>Грн.</v>
      </c>
      <c r="O196" s="694">
        <f>K196*M196</f>
        <v>20</v>
      </c>
      <c r="P196" s="651" t="str">
        <f>IF('из города'!$AG$9=3,"Дол.",IF('из города'!$AG$9=1,"Руб.","Грн."))</f>
        <v>Грн.</v>
      </c>
    </row>
    <row r="197" spans="4:16" s="428" customFormat="1" ht="7" customHeight="1">
      <c r="D197" s="808"/>
      <c r="E197" s="809"/>
      <c r="F197" s="809"/>
      <c r="G197" s="809"/>
      <c r="H197" s="809"/>
      <c r="I197" s="809"/>
      <c r="J197" s="810"/>
      <c r="K197" s="695"/>
      <c r="L197" s="834"/>
      <c r="M197" s="668"/>
      <c r="N197" s="666"/>
      <c r="O197" s="695"/>
      <c r="P197" s="652"/>
    </row>
    <row r="198" spans="4:16" s="428" customFormat="1" ht="7" customHeight="1">
      <c r="D198" s="811"/>
      <c r="E198" s="812"/>
      <c r="F198" s="812"/>
      <c r="G198" s="812"/>
      <c r="H198" s="812"/>
      <c r="I198" s="812"/>
      <c r="J198" s="813"/>
      <c r="K198" s="696"/>
      <c r="L198" s="835"/>
      <c r="M198" s="689"/>
      <c r="N198" s="681"/>
      <c r="O198" s="696"/>
      <c r="P198" s="690"/>
    </row>
    <row r="199" spans="4:16" s="428" customFormat="1" ht="7" customHeight="1">
      <c r="D199" s="805" t="s">
        <v>2834</v>
      </c>
      <c r="E199" s="806"/>
      <c r="F199" s="806"/>
      <c r="G199" s="806"/>
      <c r="H199" s="806"/>
      <c r="I199" s="806"/>
      <c r="J199" s="807"/>
      <c r="K199" s="694">
        <v>2</v>
      </c>
      <c r="L199" s="833" t="s">
        <v>23</v>
      </c>
      <c r="M199" s="667">
        <v>50</v>
      </c>
      <c r="N199" s="665" t="str">
        <f>IF('из города'!$AG$9=3,"Дол.",IF('из города'!$AG$9=1,"Руб.","Грн."))</f>
        <v>Грн.</v>
      </c>
      <c r="O199" s="694">
        <f>K199*M199</f>
        <v>100</v>
      </c>
      <c r="P199" s="651" t="str">
        <f>IF('из города'!$AG$9=3,"Дол.",IF('из города'!$AG$9=1,"Руб.","Грн."))</f>
        <v>Грн.</v>
      </c>
    </row>
    <row r="200" spans="4:16" s="428" customFormat="1" ht="7" customHeight="1">
      <c r="D200" s="808"/>
      <c r="E200" s="809"/>
      <c r="F200" s="809"/>
      <c r="G200" s="809"/>
      <c r="H200" s="809"/>
      <c r="I200" s="809"/>
      <c r="J200" s="810"/>
      <c r="K200" s="695"/>
      <c r="L200" s="834"/>
      <c r="M200" s="668"/>
      <c r="N200" s="666"/>
      <c r="O200" s="695"/>
      <c r="P200" s="652"/>
    </row>
    <row r="201" spans="4:16" s="428" customFormat="1" ht="7" customHeight="1">
      <c r="D201" s="811"/>
      <c r="E201" s="812"/>
      <c r="F201" s="812"/>
      <c r="G201" s="812"/>
      <c r="H201" s="812"/>
      <c r="I201" s="812"/>
      <c r="J201" s="813"/>
      <c r="K201" s="696"/>
      <c r="L201" s="835"/>
      <c r="M201" s="689"/>
      <c r="N201" s="681"/>
      <c r="O201" s="696"/>
      <c r="P201" s="690"/>
    </row>
    <row r="202" spans="4:16" s="428" customFormat="1" ht="7" customHeight="1">
      <c r="D202" s="805" t="s">
        <v>2835</v>
      </c>
      <c r="E202" s="806"/>
      <c r="F202" s="806"/>
      <c r="G202" s="806"/>
      <c r="H202" s="806"/>
      <c r="I202" s="806"/>
      <c r="J202" s="807"/>
      <c r="K202" s="694">
        <v>4</v>
      </c>
      <c r="L202" s="833" t="s">
        <v>2661</v>
      </c>
      <c r="M202" s="667">
        <v>15</v>
      </c>
      <c r="N202" s="665" t="str">
        <f>IF('из города'!$AG$9=3,"Дол.",IF('из города'!$AG$9=1,"Руб.","Грн."))</f>
        <v>Грн.</v>
      </c>
      <c r="O202" s="694">
        <f>K202*M202</f>
        <v>60</v>
      </c>
      <c r="P202" s="651" t="str">
        <f>IF('из города'!$AG$9=3,"Дол.",IF('из города'!$AG$9=1,"Руб.","Грн."))</f>
        <v>Грн.</v>
      </c>
    </row>
    <row r="203" spans="4:16" s="428" customFormat="1" ht="7" customHeight="1">
      <c r="D203" s="808"/>
      <c r="E203" s="809"/>
      <c r="F203" s="809"/>
      <c r="G203" s="809"/>
      <c r="H203" s="809"/>
      <c r="I203" s="809"/>
      <c r="J203" s="810"/>
      <c r="K203" s="695"/>
      <c r="L203" s="834"/>
      <c r="M203" s="668"/>
      <c r="N203" s="666"/>
      <c r="O203" s="695"/>
      <c r="P203" s="652"/>
    </row>
    <row r="204" spans="4:16" s="428" customFormat="1" ht="7" customHeight="1">
      <c r="D204" s="811"/>
      <c r="E204" s="812"/>
      <c r="F204" s="812"/>
      <c r="G204" s="812"/>
      <c r="H204" s="812"/>
      <c r="I204" s="812"/>
      <c r="J204" s="813"/>
      <c r="K204" s="696"/>
      <c r="L204" s="835"/>
      <c r="M204" s="689"/>
      <c r="N204" s="681"/>
      <c r="O204" s="696"/>
      <c r="P204" s="690"/>
    </row>
    <row r="205" spans="4:16" s="428" customFormat="1" ht="7" customHeight="1">
      <c r="D205" s="805" t="s">
        <v>2836</v>
      </c>
      <c r="E205" s="806"/>
      <c r="F205" s="806"/>
      <c r="G205" s="806"/>
      <c r="H205" s="806"/>
      <c r="I205" s="806"/>
      <c r="J205" s="807"/>
      <c r="K205" s="694">
        <v>2</v>
      </c>
      <c r="L205" s="833" t="s">
        <v>16</v>
      </c>
      <c r="M205" s="667">
        <v>70</v>
      </c>
      <c r="N205" s="665" t="str">
        <f>IF('из города'!$AG$9=3,"Дол.",IF('из города'!$AG$9=1,"Руб.","Грн."))</f>
        <v>Грн.</v>
      </c>
      <c r="O205" s="694">
        <f>K205*M205</f>
        <v>140</v>
      </c>
      <c r="P205" s="651" t="str">
        <f>IF('из города'!$AG$9=3,"Дол.",IF('из города'!$AG$9=1,"Руб.","Грн."))</f>
        <v>Грн.</v>
      </c>
    </row>
    <row r="206" spans="4:16" s="428" customFormat="1" ht="7" customHeight="1">
      <c r="D206" s="808"/>
      <c r="E206" s="809"/>
      <c r="F206" s="809"/>
      <c r="G206" s="809"/>
      <c r="H206" s="809"/>
      <c r="I206" s="809"/>
      <c r="J206" s="810"/>
      <c r="K206" s="695"/>
      <c r="L206" s="834"/>
      <c r="M206" s="668"/>
      <c r="N206" s="666"/>
      <c r="O206" s="695"/>
      <c r="P206" s="652"/>
    </row>
    <row r="207" spans="4:16" s="428" customFormat="1" ht="7" customHeight="1">
      <c r="D207" s="811"/>
      <c r="E207" s="812"/>
      <c r="F207" s="812"/>
      <c r="G207" s="812"/>
      <c r="H207" s="812"/>
      <c r="I207" s="812"/>
      <c r="J207" s="813"/>
      <c r="K207" s="696"/>
      <c r="L207" s="835"/>
      <c r="M207" s="689"/>
      <c r="N207" s="681"/>
      <c r="O207" s="696"/>
      <c r="P207" s="690"/>
    </row>
    <row r="208" spans="4:16" s="428" customFormat="1" ht="7" customHeight="1">
      <c r="D208" s="805" t="s">
        <v>2675</v>
      </c>
      <c r="E208" s="806"/>
      <c r="F208" s="806"/>
      <c r="G208" s="806"/>
      <c r="H208" s="806"/>
      <c r="I208" s="806"/>
      <c r="J208" s="807"/>
      <c r="K208" s="694">
        <v>2</v>
      </c>
      <c r="L208" s="833" t="s">
        <v>16</v>
      </c>
      <c r="M208" s="667">
        <v>12</v>
      </c>
      <c r="N208" s="665" t="str">
        <f>IF('из города'!$AG$9=3,"Дол.",IF('из города'!$AG$9=1,"Руб.","Грн."))</f>
        <v>Грн.</v>
      </c>
      <c r="O208" s="694">
        <f>K208*M208</f>
        <v>24</v>
      </c>
      <c r="P208" s="651" t="str">
        <f>IF('из города'!$AG$9=3,"Дол.",IF('из города'!$AG$9=1,"Руб.","Грн."))</f>
        <v>Грн.</v>
      </c>
    </row>
    <row r="209" spans="3:18" s="428" customFormat="1" ht="7" customHeight="1">
      <c r="D209" s="808"/>
      <c r="E209" s="809"/>
      <c r="F209" s="809"/>
      <c r="G209" s="809"/>
      <c r="H209" s="809"/>
      <c r="I209" s="809"/>
      <c r="J209" s="810"/>
      <c r="K209" s="695"/>
      <c r="L209" s="834"/>
      <c r="M209" s="668"/>
      <c r="N209" s="666"/>
      <c r="O209" s="695"/>
      <c r="P209" s="652"/>
    </row>
    <row r="210" spans="3:18" s="428" customFormat="1" ht="7" customHeight="1">
      <c r="D210" s="811"/>
      <c r="E210" s="812"/>
      <c r="F210" s="812"/>
      <c r="G210" s="812"/>
      <c r="H210" s="812"/>
      <c r="I210" s="812"/>
      <c r="J210" s="813"/>
      <c r="K210" s="696"/>
      <c r="L210" s="835"/>
      <c r="M210" s="689"/>
      <c r="N210" s="681"/>
      <c r="O210" s="696"/>
      <c r="P210" s="690"/>
    </row>
    <row r="211" spans="3:18" ht="7" customHeight="1">
      <c r="D211" s="796" t="s">
        <v>2115</v>
      </c>
      <c r="E211" s="797"/>
      <c r="F211" s="797"/>
      <c r="G211" s="797"/>
      <c r="H211" s="797"/>
      <c r="I211" s="797"/>
      <c r="J211" s="798"/>
      <c r="K211" s="667">
        <v>0</v>
      </c>
      <c r="L211" s="661" t="s">
        <v>12</v>
      </c>
      <c r="M211" s="667">
        <v>0</v>
      </c>
      <c r="N211" s="665" t="str">
        <f>IF('из города'!$AG$9=3,"Дол.",IF('из города'!$AG$9=1,"Руб.","Грн."))</f>
        <v>Грн.</v>
      </c>
      <c r="O211" s="694">
        <f>K211*M211</f>
        <v>0</v>
      </c>
      <c r="P211" s="651" t="str">
        <f>IF('из города'!$AG$9=3,"Дол.",IF('из города'!$AG$9=1,"Руб.","Грн."))</f>
        <v>Грн.</v>
      </c>
    </row>
    <row r="212" spans="3:18" ht="7" customHeight="1">
      <c r="D212" s="799"/>
      <c r="E212" s="800"/>
      <c r="F212" s="800"/>
      <c r="G212" s="800"/>
      <c r="H212" s="800"/>
      <c r="I212" s="800"/>
      <c r="J212" s="801"/>
      <c r="K212" s="668"/>
      <c r="L212" s="662"/>
      <c r="M212" s="668"/>
      <c r="N212" s="666"/>
      <c r="O212" s="695"/>
      <c r="P212" s="652"/>
    </row>
    <row r="213" spans="3:18" ht="7" customHeight="1">
      <c r="D213" s="802"/>
      <c r="E213" s="803"/>
      <c r="F213" s="803"/>
      <c r="G213" s="803"/>
      <c r="H213" s="803"/>
      <c r="I213" s="803"/>
      <c r="J213" s="804"/>
      <c r="K213" s="689"/>
      <c r="L213" s="703"/>
      <c r="M213" s="689"/>
      <c r="N213" s="681"/>
      <c r="O213" s="696"/>
      <c r="P213" s="690"/>
    </row>
    <row r="214" spans="3:18" ht="7" customHeight="1">
      <c r="D214" s="796" t="s">
        <v>2115</v>
      </c>
      <c r="E214" s="797"/>
      <c r="F214" s="797"/>
      <c r="G214" s="797"/>
      <c r="H214" s="797"/>
      <c r="I214" s="797"/>
      <c r="J214" s="798"/>
      <c r="K214" s="667">
        <v>0</v>
      </c>
      <c r="L214" s="661" t="s">
        <v>12</v>
      </c>
      <c r="M214" s="667">
        <v>0</v>
      </c>
      <c r="N214" s="665" t="str">
        <f>IF('из города'!$AG$9=3,"Дол.",IF('из города'!$AG$9=1,"Руб.","Грн."))</f>
        <v>Грн.</v>
      </c>
      <c r="O214" s="694">
        <f>K214*M214</f>
        <v>0</v>
      </c>
      <c r="P214" s="651" t="str">
        <f>IF('из города'!$AG$9=3,"Дол.",IF('из города'!$AG$9=1,"Руб.","Грн."))</f>
        <v>Грн.</v>
      </c>
    </row>
    <row r="215" spans="3:18" ht="7" customHeight="1">
      <c r="D215" s="799"/>
      <c r="E215" s="800"/>
      <c r="F215" s="800"/>
      <c r="G215" s="800"/>
      <c r="H215" s="800"/>
      <c r="I215" s="800"/>
      <c r="J215" s="801"/>
      <c r="K215" s="668"/>
      <c r="L215" s="662"/>
      <c r="M215" s="668"/>
      <c r="N215" s="666"/>
      <c r="O215" s="695"/>
      <c r="P215" s="652"/>
    </row>
    <row r="216" spans="3:18" ht="7" customHeight="1">
      <c r="D216" s="802"/>
      <c r="E216" s="803"/>
      <c r="F216" s="803"/>
      <c r="G216" s="803"/>
      <c r="H216" s="803"/>
      <c r="I216" s="803"/>
      <c r="J216" s="804"/>
      <c r="K216" s="689"/>
      <c r="L216" s="703"/>
      <c r="M216" s="689"/>
      <c r="N216" s="681"/>
      <c r="O216" s="696"/>
      <c r="P216" s="690"/>
    </row>
    <row r="217" spans="3:18" ht="7" customHeight="1">
      <c r="D217" s="796" t="s">
        <v>2115</v>
      </c>
      <c r="E217" s="797"/>
      <c r="F217" s="797"/>
      <c r="G217" s="797"/>
      <c r="H217" s="797"/>
      <c r="I217" s="797"/>
      <c r="J217" s="798"/>
      <c r="K217" s="667">
        <v>0</v>
      </c>
      <c r="L217" s="661" t="s">
        <v>12</v>
      </c>
      <c r="M217" s="667">
        <v>0</v>
      </c>
      <c r="N217" s="665" t="str">
        <f>IF('из города'!$AG$9=3,"Дол.",IF('из города'!$AG$9=1,"Руб.","Грн."))</f>
        <v>Грн.</v>
      </c>
      <c r="O217" s="694">
        <f>K217*M217</f>
        <v>0</v>
      </c>
      <c r="P217" s="651" t="str">
        <f>IF('из города'!$AG$9=3,"Дол.",IF('из города'!$AG$9=1,"Руб.","Грн."))</f>
        <v>Грн.</v>
      </c>
    </row>
    <row r="218" spans="3:18" ht="7" customHeight="1">
      <c r="D218" s="799"/>
      <c r="E218" s="800"/>
      <c r="F218" s="800"/>
      <c r="G218" s="800"/>
      <c r="H218" s="800"/>
      <c r="I218" s="800"/>
      <c r="J218" s="801"/>
      <c r="K218" s="668"/>
      <c r="L218" s="662"/>
      <c r="M218" s="668"/>
      <c r="N218" s="666"/>
      <c r="O218" s="695"/>
      <c r="P218" s="652"/>
    </row>
    <row r="219" spans="3:18" ht="7" customHeight="1">
      <c r="D219" s="802"/>
      <c r="E219" s="803"/>
      <c r="F219" s="803"/>
      <c r="G219" s="803"/>
      <c r="H219" s="803"/>
      <c r="I219" s="803"/>
      <c r="J219" s="804"/>
      <c r="K219" s="689"/>
      <c r="L219" s="703"/>
      <c r="M219" s="689"/>
      <c r="N219" s="681"/>
      <c r="O219" s="696"/>
      <c r="P219" s="690"/>
    </row>
    <row r="220" spans="3:18" ht="9" customHeight="1">
      <c r="C220" s="284" t="b">
        <v>1</v>
      </c>
      <c r="D220" s="751" t="s">
        <v>15</v>
      </c>
      <c r="E220" s="752"/>
      <c r="F220" s="752"/>
      <c r="G220" s="752"/>
      <c r="H220" s="752"/>
      <c r="I220" s="752"/>
      <c r="J220" s="749"/>
      <c r="K220" s="820">
        <f>O220/R220</f>
        <v>5983.2239999999983</v>
      </c>
      <c r="L220" s="829" t="s">
        <v>17</v>
      </c>
      <c r="M220" s="281"/>
      <c r="N220" s="282"/>
      <c r="O220" s="828">
        <f>IF(C220=TRUE,SUM(O7:O217),0)</f>
        <v>155563.82399999996</v>
      </c>
      <c r="P220" s="829" t="str">
        <f>IF('из города'!$AG$9=3,"Дол.",IF('из города'!$AG$9=1,"Руб.","Грн."))</f>
        <v>Грн.</v>
      </c>
      <c r="R220" s="822">
        <f>Главная!X13</f>
        <v>26</v>
      </c>
    </row>
    <row r="221" spans="3:18" ht="9" customHeight="1">
      <c r="D221" s="751"/>
      <c r="E221" s="752"/>
      <c r="F221" s="752"/>
      <c r="G221" s="752"/>
      <c r="H221" s="752"/>
      <c r="I221" s="752"/>
      <c r="J221" s="751"/>
      <c r="K221" s="820"/>
      <c r="L221" s="770"/>
      <c r="M221" s="283"/>
      <c r="N221" s="283"/>
      <c r="O221" s="820"/>
      <c r="P221" s="770"/>
      <c r="R221" s="822"/>
    </row>
    <row r="222" spans="3:18" ht="9" customHeight="1">
      <c r="D222" s="751"/>
      <c r="E222" s="752"/>
      <c r="F222" s="752"/>
      <c r="G222" s="752"/>
      <c r="H222" s="752"/>
      <c r="I222" s="752"/>
      <c r="J222" s="751"/>
      <c r="K222" s="821"/>
      <c r="L222" s="770"/>
      <c r="M222" s="283"/>
      <c r="N222" s="283"/>
      <c r="O222" s="821"/>
      <c r="P222" s="770"/>
      <c r="R222" s="822"/>
    </row>
    <row r="223" spans="3:18" ht="12" customHeight="1">
      <c r="J223" s="392"/>
      <c r="K223" s="392"/>
      <c r="L223" s="286"/>
      <c r="M223" s="286"/>
      <c r="N223" s="286"/>
      <c r="O223" s="383"/>
      <c r="P223" s="125"/>
    </row>
    <row r="224" spans="3:18" ht="12" customHeight="1" thickBot="1">
      <c r="J224" s="392"/>
      <c r="K224" s="392"/>
      <c r="L224" s="286"/>
      <c r="M224" s="286"/>
      <c r="N224" s="286"/>
      <c r="O224" s="383"/>
      <c r="P224" s="125"/>
    </row>
    <row r="225" spans="4:17" ht="15" customHeight="1" thickTop="1">
      <c r="D225" s="816" t="s">
        <v>2718</v>
      </c>
      <c r="E225" s="817"/>
      <c r="F225" s="817"/>
      <c r="G225" s="817"/>
      <c r="H225" s="817"/>
      <c r="I225" s="817"/>
      <c r="J225" s="817"/>
      <c r="K225" s="817"/>
      <c r="L225" s="817"/>
      <c r="M225" s="817"/>
      <c r="N225" s="817"/>
      <c r="O225" s="817"/>
      <c r="P225" s="817"/>
    </row>
    <row r="226" spans="4:17" ht="15" customHeight="1" thickBot="1">
      <c r="D226" s="818"/>
      <c r="E226" s="819"/>
      <c r="F226" s="819"/>
      <c r="G226" s="819"/>
      <c r="H226" s="819"/>
      <c r="I226" s="819"/>
      <c r="J226" s="819"/>
      <c r="K226" s="819"/>
      <c r="L226" s="819"/>
      <c r="M226" s="819"/>
      <c r="N226" s="819"/>
      <c r="O226" s="819"/>
      <c r="P226" s="819"/>
    </row>
    <row r="227" spans="4:17" ht="11" customHeight="1" thickTop="1">
      <c r="D227" s="504" t="s">
        <v>2737</v>
      </c>
      <c r="E227" s="505"/>
      <c r="F227" s="505"/>
      <c r="G227" s="505"/>
      <c r="H227" s="505"/>
      <c r="I227" s="505"/>
      <c r="J227" s="506"/>
      <c r="K227" s="478" t="s">
        <v>2738</v>
      </c>
      <c r="L227" s="479"/>
      <c r="M227" s="477" t="s">
        <v>2119</v>
      </c>
      <c r="N227" s="479"/>
      <c r="O227" s="477" t="s">
        <v>2739</v>
      </c>
      <c r="P227" s="479"/>
    </row>
    <row r="228" spans="4:17" ht="11" customHeight="1">
      <c r="D228" s="507"/>
      <c r="E228" s="508"/>
      <c r="F228" s="508"/>
      <c r="G228" s="508"/>
      <c r="H228" s="508"/>
      <c r="I228" s="508"/>
      <c r="J228" s="509"/>
      <c r="K228" s="481"/>
      <c r="L228" s="482"/>
      <c r="M228" s="480"/>
      <c r="N228" s="482"/>
      <c r="O228" s="480"/>
      <c r="P228" s="482"/>
    </row>
    <row r="229" spans="4:17" ht="11" customHeight="1" thickBot="1">
      <c r="D229" s="510"/>
      <c r="E229" s="511"/>
      <c r="F229" s="511"/>
      <c r="G229" s="511"/>
      <c r="H229" s="511"/>
      <c r="I229" s="511"/>
      <c r="J229" s="512"/>
      <c r="K229" s="484"/>
      <c r="L229" s="485"/>
      <c r="M229" s="483"/>
      <c r="N229" s="485"/>
      <c r="O229" s="483"/>
      <c r="P229" s="485"/>
    </row>
    <row r="230" spans="4:17" ht="11" customHeight="1" thickTop="1">
      <c r="D230" s="839" t="s">
        <v>2724</v>
      </c>
      <c r="E230" s="840"/>
      <c r="F230" s="840"/>
      <c r="G230" s="840"/>
      <c r="H230" s="840"/>
      <c r="I230" s="840"/>
      <c r="J230" s="841"/>
      <c r="K230" s="815">
        <v>140</v>
      </c>
      <c r="L230" s="826" t="s">
        <v>2726</v>
      </c>
      <c r="M230" s="668">
        <v>100</v>
      </c>
      <c r="N230" s="827" t="str">
        <f>IF('из города'!$AG$9=3,"Дол.",IF('из города'!$AG$9=1,"Руб.","Грн."))</f>
        <v>Грн.</v>
      </c>
      <c r="O230" s="664">
        <f>K230*M230</f>
        <v>14000</v>
      </c>
      <c r="P230" s="830" t="str">
        <f>IF('из города'!$AG$9=3,"Дол.",IF('из города'!$AG$9=1,"Руб.","Грн."))</f>
        <v>Грн.</v>
      </c>
    </row>
    <row r="231" spans="4:17" ht="11" customHeight="1">
      <c r="D231" s="720"/>
      <c r="E231" s="721"/>
      <c r="F231" s="721"/>
      <c r="G231" s="721"/>
      <c r="H231" s="721"/>
      <c r="I231" s="721"/>
      <c r="J231" s="722"/>
      <c r="K231" s="664"/>
      <c r="L231" s="687"/>
      <c r="M231" s="668"/>
      <c r="N231" s="824"/>
      <c r="O231" s="664"/>
      <c r="P231" s="652"/>
    </row>
    <row r="232" spans="4:17" ht="11" customHeight="1">
      <c r="D232" s="723"/>
      <c r="E232" s="724"/>
      <c r="F232" s="724"/>
      <c r="G232" s="724"/>
      <c r="H232" s="724"/>
      <c r="I232" s="724"/>
      <c r="J232" s="725"/>
      <c r="K232" s="682"/>
      <c r="L232" s="688"/>
      <c r="M232" s="689"/>
      <c r="N232" s="825"/>
      <c r="O232" s="682"/>
      <c r="P232" s="690"/>
    </row>
    <row r="233" spans="4:17" ht="11" customHeight="1">
      <c r="D233" s="677" t="s">
        <v>2725</v>
      </c>
      <c r="E233" s="643"/>
      <c r="F233" s="643"/>
      <c r="G233" s="643"/>
      <c r="H233" s="643"/>
      <c r="I233" s="643"/>
      <c r="J233" s="644"/>
      <c r="K233" s="663">
        <v>140</v>
      </c>
      <c r="L233" s="686" t="s">
        <v>2726</v>
      </c>
      <c r="M233" s="667">
        <v>65</v>
      </c>
      <c r="N233" s="823" t="str">
        <f>IF('из города'!$AG$9=3,"Дол.",IF('из города'!$AG$9=1,"Руб.","Грн."))</f>
        <v>Грн.</v>
      </c>
      <c r="O233" s="663">
        <f>K233*M233</f>
        <v>9100</v>
      </c>
      <c r="P233" s="651" t="str">
        <f>IF('из города'!$AG$9=3,"Дол.",IF('из города'!$AG$9=1,"Руб.","Грн."))</f>
        <v>Грн.</v>
      </c>
      <c r="Q233" s="383"/>
    </row>
    <row r="234" spans="4:17" ht="11" customHeight="1">
      <c r="D234" s="645"/>
      <c r="E234" s="646"/>
      <c r="F234" s="646"/>
      <c r="G234" s="646"/>
      <c r="H234" s="646"/>
      <c r="I234" s="646"/>
      <c r="J234" s="647"/>
      <c r="K234" s="664"/>
      <c r="L234" s="687"/>
      <c r="M234" s="668"/>
      <c r="N234" s="824"/>
      <c r="O234" s="664"/>
      <c r="P234" s="652"/>
      <c r="Q234" s="383"/>
    </row>
    <row r="235" spans="4:17" ht="11" customHeight="1">
      <c r="D235" s="648"/>
      <c r="E235" s="649"/>
      <c r="F235" s="649"/>
      <c r="G235" s="649"/>
      <c r="H235" s="649"/>
      <c r="I235" s="649"/>
      <c r="J235" s="650"/>
      <c r="K235" s="682"/>
      <c r="L235" s="688"/>
      <c r="M235" s="668"/>
      <c r="N235" s="825"/>
      <c r="O235" s="682"/>
      <c r="P235" s="690"/>
      <c r="Q235" s="383"/>
    </row>
    <row r="236" spans="4:17" ht="11" customHeight="1">
      <c r="D236" s="642" t="s">
        <v>2729</v>
      </c>
      <c r="E236" s="718"/>
      <c r="F236" s="718"/>
      <c r="G236" s="718"/>
      <c r="H236" s="718"/>
      <c r="I236" s="718"/>
      <c r="J236" s="719"/>
      <c r="K236" s="663">
        <v>788</v>
      </c>
      <c r="L236" s="686" t="s">
        <v>2727</v>
      </c>
      <c r="M236" s="667">
        <v>10</v>
      </c>
      <c r="N236" s="823" t="str">
        <f>IF('из города'!$AG$9=3,"Дол.",IF('из города'!$AG$9=1,"Руб.","Грн."))</f>
        <v>Грн.</v>
      </c>
      <c r="O236" s="663">
        <f>K236*M236</f>
        <v>7880</v>
      </c>
      <c r="P236" s="651" t="str">
        <f>IF('из города'!$AG$9=3,"Дол.",IF('из города'!$AG$9=1,"Руб.","Грн."))</f>
        <v>Грн.</v>
      </c>
    </row>
    <row r="237" spans="4:17" ht="11" customHeight="1">
      <c r="D237" s="720"/>
      <c r="E237" s="721"/>
      <c r="F237" s="721"/>
      <c r="G237" s="721"/>
      <c r="H237" s="721"/>
      <c r="I237" s="721"/>
      <c r="J237" s="722"/>
      <c r="K237" s="664"/>
      <c r="L237" s="687"/>
      <c r="M237" s="668"/>
      <c r="N237" s="824"/>
      <c r="O237" s="664"/>
      <c r="P237" s="652"/>
    </row>
    <row r="238" spans="4:17" ht="11" customHeight="1">
      <c r="D238" s="723"/>
      <c r="E238" s="724"/>
      <c r="F238" s="724"/>
      <c r="G238" s="724"/>
      <c r="H238" s="724"/>
      <c r="I238" s="724"/>
      <c r="J238" s="725"/>
      <c r="K238" s="682"/>
      <c r="L238" s="688"/>
      <c r="M238" s="689"/>
      <c r="N238" s="825"/>
      <c r="O238" s="682"/>
      <c r="P238" s="690"/>
    </row>
    <row r="239" spans="4:17" ht="11" customHeight="1">
      <c r="D239" s="642" t="s">
        <v>2728</v>
      </c>
      <c r="E239" s="718"/>
      <c r="F239" s="718"/>
      <c r="G239" s="718"/>
      <c r="H239" s="718"/>
      <c r="I239" s="718"/>
      <c r="J239" s="719"/>
      <c r="K239" s="663">
        <v>788</v>
      </c>
      <c r="L239" s="686" t="s">
        <v>2727</v>
      </c>
      <c r="M239" s="667">
        <v>10</v>
      </c>
      <c r="N239" s="823" t="str">
        <f>IF('из города'!$AG$9=3,"Дол.",IF('из города'!$AG$9=1,"Руб.","Грн."))</f>
        <v>Грн.</v>
      </c>
      <c r="O239" s="663">
        <f>K239*M239</f>
        <v>7880</v>
      </c>
      <c r="P239" s="651" t="str">
        <f>IF('из города'!$AG$9=3,"Дол.",IF('из города'!$AG$9=1,"Руб.","Грн."))</f>
        <v>Грн.</v>
      </c>
    </row>
    <row r="240" spans="4:17" ht="11" customHeight="1">
      <c r="D240" s="720"/>
      <c r="E240" s="721"/>
      <c r="F240" s="721"/>
      <c r="G240" s="721"/>
      <c r="H240" s="721"/>
      <c r="I240" s="721"/>
      <c r="J240" s="722"/>
      <c r="K240" s="664"/>
      <c r="L240" s="687"/>
      <c r="M240" s="668"/>
      <c r="N240" s="824"/>
      <c r="O240" s="664"/>
      <c r="P240" s="652"/>
    </row>
    <row r="241" spans="4:16" ht="11" customHeight="1">
      <c r="D241" s="723"/>
      <c r="E241" s="724"/>
      <c r="F241" s="724"/>
      <c r="G241" s="724"/>
      <c r="H241" s="724"/>
      <c r="I241" s="724"/>
      <c r="J241" s="725"/>
      <c r="K241" s="682"/>
      <c r="L241" s="688"/>
      <c r="M241" s="689"/>
      <c r="N241" s="825"/>
      <c r="O241" s="682"/>
      <c r="P241" s="690"/>
    </row>
    <row r="242" spans="4:16" ht="11" customHeight="1">
      <c r="D242" s="642" t="s">
        <v>2730</v>
      </c>
      <c r="E242" s="718"/>
      <c r="F242" s="718"/>
      <c r="G242" s="718"/>
      <c r="H242" s="718"/>
      <c r="I242" s="718"/>
      <c r="J242" s="719"/>
      <c r="K242" s="663">
        <v>85</v>
      </c>
      <c r="L242" s="686" t="s">
        <v>2688</v>
      </c>
      <c r="M242" s="667">
        <v>50</v>
      </c>
      <c r="N242" s="823" t="str">
        <f>IF('из города'!$AG$9=3,"Дол.",IF('из города'!$AG$9=1,"Руб.","Грн."))</f>
        <v>Грн.</v>
      </c>
      <c r="O242" s="663">
        <f>K242*M242</f>
        <v>4250</v>
      </c>
      <c r="P242" s="651" t="str">
        <f>IF('из города'!$AG$9=3,"Дол.",IF('из города'!$AG$9=1,"Руб.","Грн."))</f>
        <v>Грн.</v>
      </c>
    </row>
    <row r="243" spans="4:16" ht="11" customHeight="1">
      <c r="D243" s="720"/>
      <c r="E243" s="721"/>
      <c r="F243" s="721"/>
      <c r="G243" s="721"/>
      <c r="H243" s="721"/>
      <c r="I243" s="721"/>
      <c r="J243" s="722"/>
      <c r="K243" s="664"/>
      <c r="L243" s="687"/>
      <c r="M243" s="668"/>
      <c r="N243" s="824"/>
      <c r="O243" s="664"/>
      <c r="P243" s="652"/>
    </row>
    <row r="244" spans="4:16" ht="11" customHeight="1">
      <c r="D244" s="723"/>
      <c r="E244" s="724"/>
      <c r="F244" s="724"/>
      <c r="G244" s="724"/>
      <c r="H244" s="724"/>
      <c r="I244" s="724"/>
      <c r="J244" s="725"/>
      <c r="K244" s="682"/>
      <c r="L244" s="688"/>
      <c r="M244" s="689"/>
      <c r="N244" s="825"/>
      <c r="O244" s="682"/>
      <c r="P244" s="690"/>
    </row>
    <row r="245" spans="4:16" ht="11" customHeight="1">
      <c r="D245" s="642" t="s">
        <v>2732</v>
      </c>
      <c r="E245" s="718"/>
      <c r="F245" s="718"/>
      <c r="G245" s="718"/>
      <c r="H245" s="718"/>
      <c r="I245" s="718"/>
      <c r="J245" s="719"/>
      <c r="K245" s="663">
        <v>72</v>
      </c>
      <c r="L245" s="686" t="s">
        <v>2861</v>
      </c>
      <c r="M245" s="667">
        <v>100</v>
      </c>
      <c r="N245" s="823" t="str">
        <f>IF('из города'!$AG$9=3,"Дол.",IF('из города'!$AG$9=1,"Руб.","Грн."))</f>
        <v>Грн.</v>
      </c>
      <c r="O245" s="663">
        <f>K245*M245</f>
        <v>7200</v>
      </c>
      <c r="P245" s="651" t="str">
        <f>IF('из города'!$AG$9=3,"Дол.",IF('из города'!$AG$9=1,"Руб.","Грн."))</f>
        <v>Грн.</v>
      </c>
    </row>
    <row r="246" spans="4:16" ht="11" customHeight="1">
      <c r="D246" s="720"/>
      <c r="E246" s="721"/>
      <c r="F246" s="721"/>
      <c r="G246" s="721"/>
      <c r="H246" s="721"/>
      <c r="I246" s="721"/>
      <c r="J246" s="722"/>
      <c r="K246" s="664"/>
      <c r="L246" s="687"/>
      <c r="M246" s="668"/>
      <c r="N246" s="824"/>
      <c r="O246" s="664"/>
      <c r="P246" s="652"/>
    </row>
    <row r="247" spans="4:16" ht="11" customHeight="1">
      <c r="D247" s="723"/>
      <c r="E247" s="724"/>
      <c r="F247" s="724"/>
      <c r="G247" s="724"/>
      <c r="H247" s="724"/>
      <c r="I247" s="724"/>
      <c r="J247" s="725"/>
      <c r="K247" s="682"/>
      <c r="L247" s="688"/>
      <c r="M247" s="689"/>
      <c r="N247" s="825"/>
      <c r="O247" s="682"/>
      <c r="P247" s="690"/>
    </row>
    <row r="248" spans="4:16" ht="11" customHeight="1">
      <c r="D248" s="642" t="s">
        <v>2733</v>
      </c>
      <c r="E248" s="718"/>
      <c r="F248" s="718"/>
      <c r="G248" s="718"/>
      <c r="H248" s="718"/>
      <c r="I248" s="718"/>
      <c r="J248" s="719"/>
      <c r="K248" s="663">
        <v>90</v>
      </c>
      <c r="L248" s="686" t="s">
        <v>2731</v>
      </c>
      <c r="M248" s="667">
        <v>60</v>
      </c>
      <c r="N248" s="823" t="str">
        <f>IF('из города'!$AG$9=3,"Дол.",IF('из города'!$AG$9=1,"Руб.","Грн."))</f>
        <v>Грн.</v>
      </c>
      <c r="O248" s="663">
        <f>K248*M248</f>
        <v>5400</v>
      </c>
      <c r="P248" s="651" t="str">
        <f>IF('из города'!$AG$9=3,"Дол.",IF('из города'!$AG$9=1,"Руб.","Грн."))</f>
        <v>Грн.</v>
      </c>
    </row>
    <row r="249" spans="4:16" ht="11" customHeight="1">
      <c r="D249" s="720"/>
      <c r="E249" s="721"/>
      <c r="F249" s="721"/>
      <c r="G249" s="721"/>
      <c r="H249" s="721"/>
      <c r="I249" s="721"/>
      <c r="J249" s="722"/>
      <c r="K249" s="664"/>
      <c r="L249" s="687"/>
      <c r="M249" s="668"/>
      <c r="N249" s="824"/>
      <c r="O249" s="664"/>
      <c r="P249" s="652"/>
    </row>
    <row r="250" spans="4:16" ht="11" customHeight="1">
      <c r="D250" s="723"/>
      <c r="E250" s="724"/>
      <c r="F250" s="724"/>
      <c r="G250" s="724"/>
      <c r="H250" s="724"/>
      <c r="I250" s="724"/>
      <c r="J250" s="725"/>
      <c r="K250" s="682"/>
      <c r="L250" s="688"/>
      <c r="M250" s="689"/>
      <c r="N250" s="825"/>
      <c r="O250" s="682"/>
      <c r="P250" s="690"/>
    </row>
    <row r="251" spans="4:16" ht="11" customHeight="1">
      <c r="D251" s="642" t="s">
        <v>2735</v>
      </c>
      <c r="E251" s="718"/>
      <c r="F251" s="718"/>
      <c r="G251" s="718"/>
      <c r="H251" s="718"/>
      <c r="I251" s="718"/>
      <c r="J251" s="719"/>
      <c r="K251" s="663">
        <v>72</v>
      </c>
      <c r="L251" s="686" t="s">
        <v>2731</v>
      </c>
      <c r="M251" s="667">
        <v>100</v>
      </c>
      <c r="N251" s="823" t="str">
        <f>IF('из города'!$AG$9=3,"Дол.",IF('из города'!$AG$9=1,"Руб.","Грн."))</f>
        <v>Грн.</v>
      </c>
      <c r="O251" s="663">
        <f>K251*M251</f>
        <v>7200</v>
      </c>
      <c r="P251" s="651" t="str">
        <f>IF('из города'!$AG$9=3,"Дол.",IF('из города'!$AG$9=1,"Руб.","Грн."))</f>
        <v>Грн.</v>
      </c>
    </row>
    <row r="252" spans="4:16" ht="11" customHeight="1">
      <c r="D252" s="720"/>
      <c r="E252" s="721"/>
      <c r="F252" s="721"/>
      <c r="G252" s="721"/>
      <c r="H252" s="721"/>
      <c r="I252" s="721"/>
      <c r="J252" s="722"/>
      <c r="K252" s="664"/>
      <c r="L252" s="687"/>
      <c r="M252" s="668"/>
      <c r="N252" s="824"/>
      <c r="O252" s="664"/>
      <c r="P252" s="652"/>
    </row>
    <row r="253" spans="4:16" ht="11" customHeight="1">
      <c r="D253" s="723"/>
      <c r="E253" s="724"/>
      <c r="F253" s="724"/>
      <c r="G253" s="724"/>
      <c r="H253" s="724"/>
      <c r="I253" s="724"/>
      <c r="J253" s="725"/>
      <c r="K253" s="682"/>
      <c r="L253" s="688"/>
      <c r="M253" s="689"/>
      <c r="N253" s="825"/>
      <c r="O253" s="682"/>
      <c r="P253" s="690"/>
    </row>
    <row r="254" spans="4:16" ht="11" customHeight="1">
      <c r="D254" s="642" t="s">
        <v>2734</v>
      </c>
      <c r="E254" s="718"/>
      <c r="F254" s="718"/>
      <c r="G254" s="718"/>
      <c r="H254" s="718"/>
      <c r="I254" s="718"/>
      <c r="J254" s="719"/>
      <c r="K254" s="663">
        <v>90</v>
      </c>
      <c r="L254" s="686" t="s">
        <v>2731</v>
      </c>
      <c r="M254" s="667">
        <v>60</v>
      </c>
      <c r="N254" s="823" t="str">
        <f>IF('из города'!$AG$9=3,"Дол.",IF('из города'!$AG$9=1,"Руб.","Грн."))</f>
        <v>Грн.</v>
      </c>
      <c r="O254" s="663">
        <f>K254*M254</f>
        <v>5400</v>
      </c>
      <c r="P254" s="651" t="str">
        <f>IF('из города'!$AG$9=3,"Дол.",IF('из города'!$AG$9=1,"Руб.","Грн."))</f>
        <v>Грн.</v>
      </c>
    </row>
    <row r="255" spans="4:16" ht="11" customHeight="1">
      <c r="D255" s="720"/>
      <c r="E255" s="721"/>
      <c r="F255" s="721"/>
      <c r="G255" s="721"/>
      <c r="H255" s="721"/>
      <c r="I255" s="721"/>
      <c r="J255" s="722"/>
      <c r="K255" s="664"/>
      <c r="L255" s="687"/>
      <c r="M255" s="668"/>
      <c r="N255" s="824"/>
      <c r="O255" s="664"/>
      <c r="P255" s="652"/>
    </row>
    <row r="256" spans="4:16" ht="11" customHeight="1">
      <c r="D256" s="723"/>
      <c r="E256" s="724"/>
      <c r="F256" s="724"/>
      <c r="G256" s="724"/>
      <c r="H256" s="724"/>
      <c r="I256" s="724"/>
      <c r="J256" s="725"/>
      <c r="K256" s="682"/>
      <c r="L256" s="688"/>
      <c r="M256" s="689"/>
      <c r="N256" s="825"/>
      <c r="O256" s="682"/>
      <c r="P256" s="690"/>
    </row>
    <row r="257" spans="3:16" ht="11" customHeight="1">
      <c r="D257" s="642" t="s">
        <v>2736</v>
      </c>
      <c r="E257" s="718"/>
      <c r="F257" s="718"/>
      <c r="G257" s="718"/>
      <c r="H257" s="718"/>
      <c r="I257" s="718"/>
      <c r="J257" s="719"/>
      <c r="K257" s="663">
        <v>61</v>
      </c>
      <c r="L257" s="686" t="s">
        <v>2688</v>
      </c>
      <c r="M257" s="667">
        <v>220</v>
      </c>
      <c r="N257" s="823" t="str">
        <f>IF('из города'!$AG$9=3,"Дол.",IF('из города'!$AG$9=1,"Руб.","Грн."))</f>
        <v>Грн.</v>
      </c>
      <c r="O257" s="663">
        <f>K257*M257</f>
        <v>13420</v>
      </c>
      <c r="P257" s="651" t="str">
        <f>IF('из города'!$AG$9=3,"Дол.",IF('из города'!$AG$9=1,"Руб.","Грн."))</f>
        <v>Грн.</v>
      </c>
    </row>
    <row r="258" spans="3:16" ht="11" customHeight="1">
      <c r="D258" s="720"/>
      <c r="E258" s="721"/>
      <c r="F258" s="721"/>
      <c r="G258" s="721"/>
      <c r="H258" s="721"/>
      <c r="I258" s="721"/>
      <c r="J258" s="722"/>
      <c r="K258" s="664"/>
      <c r="L258" s="687"/>
      <c r="M258" s="668"/>
      <c r="N258" s="824"/>
      <c r="O258" s="664"/>
      <c r="P258" s="652"/>
    </row>
    <row r="259" spans="3:16" ht="11" customHeight="1">
      <c r="D259" s="723"/>
      <c r="E259" s="724"/>
      <c r="F259" s="724"/>
      <c r="G259" s="724"/>
      <c r="H259" s="724"/>
      <c r="I259" s="724"/>
      <c r="J259" s="725"/>
      <c r="K259" s="682"/>
      <c r="L259" s="688"/>
      <c r="M259" s="689"/>
      <c r="N259" s="825"/>
      <c r="O259" s="682"/>
      <c r="P259" s="690"/>
    </row>
    <row r="260" spans="3:16" ht="11" customHeight="1">
      <c r="C260" s="285" t="b">
        <v>0</v>
      </c>
      <c r="D260" s="751" t="s">
        <v>2723</v>
      </c>
      <c r="E260" s="752"/>
      <c r="F260" s="752"/>
      <c r="G260" s="752"/>
      <c r="H260" s="752"/>
      <c r="I260" s="752"/>
      <c r="J260" s="749"/>
      <c r="K260" s="820">
        <f>O260/R220</f>
        <v>0</v>
      </c>
      <c r="L260" s="829" t="s">
        <v>17</v>
      </c>
      <c r="M260" s="281"/>
      <c r="N260" s="384"/>
      <c r="O260" s="828">
        <f>IF(C260=TRUE,O230+O233+O236+O239+O242+O245+O248+O251+O254+O257,0)</f>
        <v>0</v>
      </c>
      <c r="P260" s="829" t="str">
        <f>IF('из города'!$AG$9=3,"Дол.",IF('из города'!$AG$9=1,"Руб.","Грн."))</f>
        <v>Грн.</v>
      </c>
    </row>
    <row r="261" spans="3:16" ht="11" customHeight="1">
      <c r="D261" s="751"/>
      <c r="E261" s="752"/>
      <c r="F261" s="752"/>
      <c r="G261" s="752"/>
      <c r="H261" s="752"/>
      <c r="I261" s="752"/>
      <c r="J261" s="751"/>
      <c r="K261" s="820"/>
      <c r="L261" s="770"/>
      <c r="M261" s="283"/>
      <c r="N261" s="283"/>
      <c r="O261" s="820"/>
      <c r="P261" s="770"/>
    </row>
    <row r="262" spans="3:16" ht="11" customHeight="1">
      <c r="D262" s="751"/>
      <c r="E262" s="752"/>
      <c r="F262" s="752"/>
      <c r="G262" s="752"/>
      <c r="H262" s="752"/>
      <c r="I262" s="752"/>
      <c r="J262" s="751"/>
      <c r="K262" s="821"/>
      <c r="L262" s="770"/>
      <c r="M262" s="283"/>
      <c r="N262" s="283"/>
      <c r="O262" s="821"/>
      <c r="P262" s="770"/>
    </row>
  </sheetData>
  <sheetProtection password="C665" sheet="1" selectLockedCells="1"/>
  <mergeCells count="595">
    <mergeCell ref="P97:P99"/>
    <mergeCell ref="P151:P153"/>
    <mergeCell ref="L10:L12"/>
    <mergeCell ref="M10:M12"/>
    <mergeCell ref="N10:N12"/>
    <mergeCell ref="O10:O12"/>
    <mergeCell ref="P40:P42"/>
    <mergeCell ref="D43:J45"/>
    <mergeCell ref="K43:K45"/>
    <mergeCell ref="L43:L45"/>
    <mergeCell ref="M43:M45"/>
    <mergeCell ref="N43:N45"/>
    <mergeCell ref="P10:P12"/>
    <mergeCell ref="D13:J15"/>
    <mergeCell ref="K13:K15"/>
    <mergeCell ref="L13:L15"/>
    <mergeCell ref="M13:M15"/>
    <mergeCell ref="N13:N15"/>
    <mergeCell ref="O13:O15"/>
    <mergeCell ref="P13:P15"/>
    <mergeCell ref="D10:J12"/>
    <mergeCell ref="K10:K12"/>
    <mergeCell ref="K19:K21"/>
    <mergeCell ref="L19:L21"/>
    <mergeCell ref="P133:P135"/>
    <mergeCell ref="M19:M21"/>
    <mergeCell ref="N19:N21"/>
    <mergeCell ref="O19:O21"/>
    <mergeCell ref="D118:J120"/>
    <mergeCell ref="K118:K120"/>
    <mergeCell ref="L118:L120"/>
    <mergeCell ref="M118:M120"/>
    <mergeCell ref="N118:N120"/>
    <mergeCell ref="L100:L102"/>
    <mergeCell ref="M100:M102"/>
    <mergeCell ref="N100:N102"/>
    <mergeCell ref="D40:J42"/>
    <mergeCell ref="K40:K42"/>
    <mergeCell ref="L40:L42"/>
    <mergeCell ref="M40:M42"/>
    <mergeCell ref="N40:N42"/>
    <mergeCell ref="L97:L99"/>
    <mergeCell ref="M97:M99"/>
    <mergeCell ref="N97:N99"/>
    <mergeCell ref="L82:L84"/>
    <mergeCell ref="M82:M84"/>
    <mergeCell ref="O43:O45"/>
    <mergeCell ref="M28:M30"/>
    <mergeCell ref="L151:L153"/>
    <mergeCell ref="M151:M153"/>
    <mergeCell ref="N151:N153"/>
    <mergeCell ref="O151:O153"/>
    <mergeCell ref="K145:K147"/>
    <mergeCell ref="D130:J132"/>
    <mergeCell ref="K130:K132"/>
    <mergeCell ref="L130:L132"/>
    <mergeCell ref="M130:M132"/>
    <mergeCell ref="N130:N132"/>
    <mergeCell ref="O130:O132"/>
    <mergeCell ref="L133:L135"/>
    <mergeCell ref="M133:M135"/>
    <mergeCell ref="N133:N135"/>
    <mergeCell ref="O133:O135"/>
    <mergeCell ref="L205:L207"/>
    <mergeCell ref="M205:M207"/>
    <mergeCell ref="N205:N207"/>
    <mergeCell ref="O205:O207"/>
    <mergeCell ref="P205:P207"/>
    <mergeCell ref="N157:N159"/>
    <mergeCell ref="O157:O159"/>
    <mergeCell ref="P157:P159"/>
    <mergeCell ref="D148:J150"/>
    <mergeCell ref="K148:K150"/>
    <mergeCell ref="L148:L150"/>
    <mergeCell ref="M148:M150"/>
    <mergeCell ref="N148:N150"/>
    <mergeCell ref="O148:O150"/>
    <mergeCell ref="P148:P150"/>
    <mergeCell ref="L169:L171"/>
    <mergeCell ref="M169:M171"/>
    <mergeCell ref="N169:N171"/>
    <mergeCell ref="O169:O171"/>
    <mergeCell ref="P169:P171"/>
    <mergeCell ref="P199:P201"/>
    <mergeCell ref="O199:O201"/>
    <mergeCell ref="N199:N201"/>
    <mergeCell ref="M199:M201"/>
    <mergeCell ref="L199:L201"/>
    <mergeCell ref="K199:K201"/>
    <mergeCell ref="N202:N204"/>
    <mergeCell ref="O202:O204"/>
    <mergeCell ref="P202:P204"/>
    <mergeCell ref="P196:P198"/>
    <mergeCell ref="D178:J180"/>
    <mergeCell ref="K178:K180"/>
    <mergeCell ref="L178:L180"/>
    <mergeCell ref="M178:M180"/>
    <mergeCell ref="N178:N180"/>
    <mergeCell ref="O178:O180"/>
    <mergeCell ref="P178:P180"/>
    <mergeCell ref="D181:J183"/>
    <mergeCell ref="M190:M192"/>
    <mergeCell ref="M184:M186"/>
    <mergeCell ref="L202:L204"/>
    <mergeCell ref="P181:P183"/>
    <mergeCell ref="N184:N186"/>
    <mergeCell ref="O184:O186"/>
    <mergeCell ref="P184:P186"/>
    <mergeCell ref="O187:O189"/>
    <mergeCell ref="P187:P189"/>
    <mergeCell ref="N190:N192"/>
    <mergeCell ref="O196:O198"/>
    <mergeCell ref="L181:L183"/>
    <mergeCell ref="M181:M183"/>
    <mergeCell ref="N181:N183"/>
    <mergeCell ref="O181:O183"/>
    <mergeCell ref="L184:L186"/>
    <mergeCell ref="M193:M195"/>
    <mergeCell ref="N193:N195"/>
    <mergeCell ref="O193:O195"/>
    <mergeCell ref="M196:M198"/>
    <mergeCell ref="N196:N198"/>
    <mergeCell ref="L163:L165"/>
    <mergeCell ref="D166:J168"/>
    <mergeCell ref="D160:J162"/>
    <mergeCell ref="K160:K162"/>
    <mergeCell ref="L160:L162"/>
    <mergeCell ref="M160:M162"/>
    <mergeCell ref="N160:N162"/>
    <mergeCell ref="P127:P129"/>
    <mergeCell ref="D154:J156"/>
    <mergeCell ref="K154:K156"/>
    <mergeCell ref="L154:L156"/>
    <mergeCell ref="M154:M156"/>
    <mergeCell ref="N154:N156"/>
    <mergeCell ref="O154:O156"/>
    <mergeCell ref="P154:P156"/>
    <mergeCell ref="P139:P141"/>
    <mergeCell ref="K142:K144"/>
    <mergeCell ref="D127:J129"/>
    <mergeCell ref="K127:K129"/>
    <mergeCell ref="L127:L129"/>
    <mergeCell ref="M127:M129"/>
    <mergeCell ref="N127:N129"/>
    <mergeCell ref="O127:O129"/>
    <mergeCell ref="O136:O138"/>
    <mergeCell ref="P136:P138"/>
    <mergeCell ref="O142:O144"/>
    <mergeCell ref="P142:P144"/>
    <mergeCell ref="P130:P132"/>
    <mergeCell ref="D133:J135"/>
    <mergeCell ref="K133:K135"/>
    <mergeCell ref="D151:J153"/>
    <mergeCell ref="D175:J177"/>
    <mergeCell ref="K175:K177"/>
    <mergeCell ref="L175:L177"/>
    <mergeCell ref="M175:M177"/>
    <mergeCell ref="N175:N177"/>
    <mergeCell ref="O175:O177"/>
    <mergeCell ref="P175:P177"/>
    <mergeCell ref="D193:J195"/>
    <mergeCell ref="K193:K195"/>
    <mergeCell ref="L193:L195"/>
    <mergeCell ref="D187:J189"/>
    <mergeCell ref="K187:K189"/>
    <mergeCell ref="L187:L189"/>
    <mergeCell ref="M187:M189"/>
    <mergeCell ref="N187:N189"/>
    <mergeCell ref="D190:J192"/>
    <mergeCell ref="K190:K192"/>
    <mergeCell ref="L190:L192"/>
    <mergeCell ref="P193:P195"/>
    <mergeCell ref="O190:O192"/>
    <mergeCell ref="D139:J141"/>
    <mergeCell ref="K139:K141"/>
    <mergeCell ref="L139:L141"/>
    <mergeCell ref="M139:M141"/>
    <mergeCell ref="N139:N141"/>
    <mergeCell ref="O139:O141"/>
    <mergeCell ref="P172:P174"/>
    <mergeCell ref="P163:P165"/>
    <mergeCell ref="M166:M168"/>
    <mergeCell ref="N166:N168"/>
    <mergeCell ref="O166:O168"/>
    <mergeCell ref="P166:P168"/>
    <mergeCell ref="K166:K168"/>
    <mergeCell ref="L166:L168"/>
    <mergeCell ref="D169:J171"/>
    <mergeCell ref="M163:M165"/>
    <mergeCell ref="N163:N165"/>
    <mergeCell ref="O163:O165"/>
    <mergeCell ref="P160:P162"/>
    <mergeCell ref="D157:J159"/>
    <mergeCell ref="K157:K159"/>
    <mergeCell ref="D163:J165"/>
    <mergeCell ref="O160:O162"/>
    <mergeCell ref="K151:K153"/>
    <mergeCell ref="P106:P108"/>
    <mergeCell ref="O100:O102"/>
    <mergeCell ref="P124:P126"/>
    <mergeCell ref="O118:O120"/>
    <mergeCell ref="P118:P120"/>
    <mergeCell ref="D115:J117"/>
    <mergeCell ref="K115:K117"/>
    <mergeCell ref="L115:L117"/>
    <mergeCell ref="M115:M117"/>
    <mergeCell ref="N115:N117"/>
    <mergeCell ref="O115:O117"/>
    <mergeCell ref="K121:K123"/>
    <mergeCell ref="D124:J126"/>
    <mergeCell ref="K124:K126"/>
    <mergeCell ref="L124:L126"/>
    <mergeCell ref="M124:M126"/>
    <mergeCell ref="N124:N126"/>
    <mergeCell ref="O124:O126"/>
    <mergeCell ref="D100:J102"/>
    <mergeCell ref="K100:K102"/>
    <mergeCell ref="P100:P102"/>
    <mergeCell ref="P115:P117"/>
    <mergeCell ref="P79:P81"/>
    <mergeCell ref="D61:J63"/>
    <mergeCell ref="K61:K63"/>
    <mergeCell ref="N82:N84"/>
    <mergeCell ref="O82:O84"/>
    <mergeCell ref="P82:P84"/>
    <mergeCell ref="D91:J93"/>
    <mergeCell ref="K91:K93"/>
    <mergeCell ref="L91:L93"/>
    <mergeCell ref="M91:M93"/>
    <mergeCell ref="N91:N93"/>
    <mergeCell ref="O91:O93"/>
    <mergeCell ref="P91:P93"/>
    <mergeCell ref="O61:O63"/>
    <mergeCell ref="P76:P78"/>
    <mergeCell ref="P85:P87"/>
    <mergeCell ref="P88:P90"/>
    <mergeCell ref="J260:J262"/>
    <mergeCell ref="K260:K262"/>
    <mergeCell ref="L260:L262"/>
    <mergeCell ref="O260:O262"/>
    <mergeCell ref="L34:L36"/>
    <mergeCell ref="M34:M36"/>
    <mergeCell ref="N34:N36"/>
    <mergeCell ref="O34:O36"/>
    <mergeCell ref="D49:J51"/>
    <mergeCell ref="K49:K51"/>
    <mergeCell ref="L49:L51"/>
    <mergeCell ref="M49:M51"/>
    <mergeCell ref="N49:N51"/>
    <mergeCell ref="O49:O51"/>
    <mergeCell ref="D37:J39"/>
    <mergeCell ref="K37:K39"/>
    <mergeCell ref="L37:L39"/>
    <mergeCell ref="M37:M39"/>
    <mergeCell ref="N37:N39"/>
    <mergeCell ref="O37:O39"/>
    <mergeCell ref="D34:J36"/>
    <mergeCell ref="K34:K36"/>
    <mergeCell ref="L61:L63"/>
    <mergeCell ref="M61:M63"/>
    <mergeCell ref="P248:P250"/>
    <mergeCell ref="D251:J253"/>
    <mergeCell ref="K251:K253"/>
    <mergeCell ref="L251:L253"/>
    <mergeCell ref="M251:M253"/>
    <mergeCell ref="N251:N253"/>
    <mergeCell ref="O251:O253"/>
    <mergeCell ref="P251:P253"/>
    <mergeCell ref="P260:P262"/>
    <mergeCell ref="D257:J259"/>
    <mergeCell ref="K257:K259"/>
    <mergeCell ref="L257:L259"/>
    <mergeCell ref="D254:J256"/>
    <mergeCell ref="K254:K256"/>
    <mergeCell ref="L254:L256"/>
    <mergeCell ref="M254:M256"/>
    <mergeCell ref="N254:N256"/>
    <mergeCell ref="O254:O256"/>
    <mergeCell ref="M257:M259"/>
    <mergeCell ref="N257:N259"/>
    <mergeCell ref="O257:O259"/>
    <mergeCell ref="P257:P259"/>
    <mergeCell ref="P254:P256"/>
    <mergeCell ref="D260:I262"/>
    <mergeCell ref="D245:J247"/>
    <mergeCell ref="K245:K247"/>
    <mergeCell ref="L245:L247"/>
    <mergeCell ref="M245:M247"/>
    <mergeCell ref="N245:N247"/>
    <mergeCell ref="O245:O247"/>
    <mergeCell ref="P245:P247"/>
    <mergeCell ref="D242:J244"/>
    <mergeCell ref="K242:K244"/>
    <mergeCell ref="N242:N244"/>
    <mergeCell ref="O242:O244"/>
    <mergeCell ref="P236:P238"/>
    <mergeCell ref="D239:J241"/>
    <mergeCell ref="K239:K241"/>
    <mergeCell ref="L239:L241"/>
    <mergeCell ref="M239:M241"/>
    <mergeCell ref="N239:N241"/>
    <mergeCell ref="P242:P244"/>
    <mergeCell ref="Q58:Q60"/>
    <mergeCell ref="Q64:Q66"/>
    <mergeCell ref="D225:P226"/>
    <mergeCell ref="D227:J229"/>
    <mergeCell ref="K227:L229"/>
    <mergeCell ref="M227:N229"/>
    <mergeCell ref="P230:P232"/>
    <mergeCell ref="D233:J235"/>
    <mergeCell ref="K233:K235"/>
    <mergeCell ref="L233:L235"/>
    <mergeCell ref="M233:M235"/>
    <mergeCell ref="N233:N235"/>
    <mergeCell ref="O233:O235"/>
    <mergeCell ref="P233:P235"/>
    <mergeCell ref="D230:J232"/>
    <mergeCell ref="K230:K232"/>
    <mergeCell ref="N61:N63"/>
    <mergeCell ref="Q61:Q63"/>
    <mergeCell ref="D79:J81"/>
    <mergeCell ref="K79:K81"/>
    <mergeCell ref="L79:L81"/>
    <mergeCell ref="M79:M81"/>
    <mergeCell ref="N79:N81"/>
    <mergeCell ref="O121:O123"/>
    <mergeCell ref="P121:P123"/>
    <mergeCell ref="L211:L213"/>
    <mergeCell ref="M211:M213"/>
    <mergeCell ref="N211:N213"/>
    <mergeCell ref="O211:O213"/>
    <mergeCell ref="P211:P213"/>
    <mergeCell ref="L142:L144"/>
    <mergeCell ref="M142:M144"/>
    <mergeCell ref="N142:N144"/>
    <mergeCell ref="N121:N123"/>
    <mergeCell ref="L106:L108"/>
    <mergeCell ref="M106:M108"/>
    <mergeCell ref="N106:N108"/>
    <mergeCell ref="N112:N114"/>
    <mergeCell ref="O85:O87"/>
    <mergeCell ref="O106:O108"/>
    <mergeCell ref="O97:O99"/>
    <mergeCell ref="L214:L216"/>
    <mergeCell ref="M214:M216"/>
    <mergeCell ref="N214:N216"/>
    <mergeCell ref="O214:O216"/>
    <mergeCell ref="P214:P216"/>
    <mergeCell ref="L172:L174"/>
    <mergeCell ref="M172:M174"/>
    <mergeCell ref="L145:L147"/>
    <mergeCell ref="M145:M147"/>
    <mergeCell ref="N145:N147"/>
    <mergeCell ref="O145:O147"/>
    <mergeCell ref="N172:N174"/>
    <mergeCell ref="O172:O174"/>
    <mergeCell ref="P208:P210"/>
    <mergeCell ref="P145:P147"/>
    <mergeCell ref="L157:L159"/>
    <mergeCell ref="M157:M159"/>
    <mergeCell ref="L208:L210"/>
    <mergeCell ref="M208:M210"/>
    <mergeCell ref="N208:N210"/>
    <mergeCell ref="O208:O210"/>
    <mergeCell ref="P190:P192"/>
    <mergeCell ref="M202:M204"/>
    <mergeCell ref="L196:L198"/>
    <mergeCell ref="N46:N48"/>
    <mergeCell ref="M64:M66"/>
    <mergeCell ref="M58:M60"/>
    <mergeCell ref="L25:L27"/>
    <mergeCell ref="M25:M27"/>
    <mergeCell ref="L55:L57"/>
    <mergeCell ref="M55:M57"/>
    <mergeCell ref="N55:N57"/>
    <mergeCell ref="N52:N54"/>
    <mergeCell ref="L46:L48"/>
    <mergeCell ref="M22:M24"/>
    <mergeCell ref="L28:L30"/>
    <mergeCell ref="L7:L9"/>
    <mergeCell ref="M7:M9"/>
    <mergeCell ref="L16:L18"/>
    <mergeCell ref="M16:M18"/>
    <mergeCell ref="L58:L60"/>
    <mergeCell ref="L121:L123"/>
    <mergeCell ref="M121:M123"/>
    <mergeCell ref="L112:L114"/>
    <mergeCell ref="M112:M114"/>
    <mergeCell ref="L52:L54"/>
    <mergeCell ref="M52:M54"/>
    <mergeCell ref="M46:M48"/>
    <mergeCell ref="Q48:Q53"/>
    <mergeCell ref="K4:L6"/>
    <mergeCell ref="L76:L78"/>
    <mergeCell ref="M76:M78"/>
    <mergeCell ref="N76:N78"/>
    <mergeCell ref="O76:O78"/>
    <mergeCell ref="O70:O72"/>
    <mergeCell ref="L64:L66"/>
    <mergeCell ref="D4:J6"/>
    <mergeCell ref="L67:L69"/>
    <mergeCell ref="M67:M69"/>
    <mergeCell ref="N67:N69"/>
    <mergeCell ref="L70:L72"/>
    <mergeCell ref="M70:M72"/>
    <mergeCell ref="N70:N72"/>
    <mergeCell ref="O46:O48"/>
    <mergeCell ref="N7:N9"/>
    <mergeCell ref="N16:N18"/>
    <mergeCell ref="N22:N24"/>
    <mergeCell ref="N25:N27"/>
    <mergeCell ref="N28:N30"/>
    <mergeCell ref="O7:O9"/>
    <mergeCell ref="O40:O42"/>
    <mergeCell ref="L22:L24"/>
    <mergeCell ref="P7:P9"/>
    <mergeCell ref="P16:P18"/>
    <mergeCell ref="P22:P24"/>
    <mergeCell ref="P25:P27"/>
    <mergeCell ref="P28:P30"/>
    <mergeCell ref="P46:P48"/>
    <mergeCell ref="P58:P60"/>
    <mergeCell ref="P64:P66"/>
    <mergeCell ref="P67:P69"/>
    <mergeCell ref="P49:P51"/>
    <mergeCell ref="P55:P57"/>
    <mergeCell ref="P61:P63"/>
    <mergeCell ref="P34:P36"/>
    <mergeCell ref="P37:P39"/>
    <mergeCell ref="P19:P21"/>
    <mergeCell ref="P43:P45"/>
    <mergeCell ref="P52:P54"/>
    <mergeCell ref="P94:P96"/>
    <mergeCell ref="O220:O222"/>
    <mergeCell ref="N217:N219"/>
    <mergeCell ref="O217:O219"/>
    <mergeCell ref="L220:L222"/>
    <mergeCell ref="O112:O114"/>
    <mergeCell ref="P70:P72"/>
    <mergeCell ref="P73:P75"/>
    <mergeCell ref="P103:P105"/>
    <mergeCell ref="P109:P111"/>
    <mergeCell ref="P112:P114"/>
    <mergeCell ref="P217:P219"/>
    <mergeCell ref="L88:L90"/>
    <mergeCell ref="M88:M90"/>
    <mergeCell ref="N88:N90"/>
    <mergeCell ref="O88:O90"/>
    <mergeCell ref="L94:L96"/>
    <mergeCell ref="M94:M96"/>
    <mergeCell ref="N94:N96"/>
    <mergeCell ref="O94:O96"/>
    <mergeCell ref="P220:P222"/>
    <mergeCell ref="L136:L138"/>
    <mergeCell ref="M136:M138"/>
    <mergeCell ref="N136:N138"/>
    <mergeCell ref="O52:O54"/>
    <mergeCell ref="L109:L111"/>
    <mergeCell ref="M109:M111"/>
    <mergeCell ref="N109:N111"/>
    <mergeCell ref="O109:O111"/>
    <mergeCell ref="K109:K111"/>
    <mergeCell ref="L85:L87"/>
    <mergeCell ref="M85:M87"/>
    <mergeCell ref="N85:N87"/>
    <mergeCell ref="K55:K57"/>
    <mergeCell ref="O55:O57"/>
    <mergeCell ref="K106:K108"/>
    <mergeCell ref="K97:K99"/>
    <mergeCell ref="O58:O60"/>
    <mergeCell ref="L73:L75"/>
    <mergeCell ref="M73:M75"/>
    <mergeCell ref="N73:N75"/>
    <mergeCell ref="O73:O75"/>
    <mergeCell ref="O67:O69"/>
    <mergeCell ref="O64:O66"/>
    <mergeCell ref="N58:N60"/>
    <mergeCell ref="O79:O81"/>
    <mergeCell ref="N64:N66"/>
    <mergeCell ref="R220:R222"/>
    <mergeCell ref="L217:L219"/>
    <mergeCell ref="M217:M219"/>
    <mergeCell ref="D248:J250"/>
    <mergeCell ref="K248:K250"/>
    <mergeCell ref="L248:L250"/>
    <mergeCell ref="M248:M250"/>
    <mergeCell ref="N248:N250"/>
    <mergeCell ref="O248:O250"/>
    <mergeCell ref="O227:P229"/>
    <mergeCell ref="L230:L232"/>
    <mergeCell ref="M230:M232"/>
    <mergeCell ref="N230:N232"/>
    <mergeCell ref="O230:O232"/>
    <mergeCell ref="O239:O241"/>
    <mergeCell ref="P239:P241"/>
    <mergeCell ref="D236:J238"/>
    <mergeCell ref="K236:K238"/>
    <mergeCell ref="L236:L238"/>
    <mergeCell ref="M236:M238"/>
    <mergeCell ref="N236:N238"/>
    <mergeCell ref="O236:O238"/>
    <mergeCell ref="L242:L244"/>
    <mergeCell ref="M242:M244"/>
    <mergeCell ref="D2:P3"/>
    <mergeCell ref="M4:N6"/>
    <mergeCell ref="O4:P6"/>
    <mergeCell ref="M1:N1"/>
    <mergeCell ref="K64:K66"/>
    <mergeCell ref="K67:K69"/>
    <mergeCell ref="K70:K72"/>
    <mergeCell ref="L31:L33"/>
    <mergeCell ref="D220:I222"/>
    <mergeCell ref="M31:M33"/>
    <mergeCell ref="N31:N33"/>
    <mergeCell ref="O31:O33"/>
    <mergeCell ref="P31:P33"/>
    <mergeCell ref="O16:O18"/>
    <mergeCell ref="O22:O24"/>
    <mergeCell ref="O25:O27"/>
    <mergeCell ref="O28:O30"/>
    <mergeCell ref="K220:K222"/>
    <mergeCell ref="L103:L105"/>
    <mergeCell ref="M103:M105"/>
    <mergeCell ref="N103:N105"/>
    <mergeCell ref="O103:O105"/>
    <mergeCell ref="D52:J54"/>
    <mergeCell ref="J220:J222"/>
    <mergeCell ref="K7:K9"/>
    <mergeCell ref="K16:K18"/>
    <mergeCell ref="K22:K24"/>
    <mergeCell ref="K25:K27"/>
    <mergeCell ref="K28:K30"/>
    <mergeCell ref="K31:K33"/>
    <mergeCell ref="K46:K48"/>
    <mergeCell ref="K58:K60"/>
    <mergeCell ref="K73:K75"/>
    <mergeCell ref="K52:K54"/>
    <mergeCell ref="K211:K213"/>
    <mergeCell ref="K214:K216"/>
    <mergeCell ref="K136:K138"/>
    <mergeCell ref="K169:K171"/>
    <mergeCell ref="K217:K219"/>
    <mergeCell ref="K76:K78"/>
    <mergeCell ref="K85:K87"/>
    <mergeCell ref="K88:K90"/>
    <mergeCell ref="K94:K96"/>
    <mergeCell ref="K103:K105"/>
    <mergeCell ref="K112:K114"/>
    <mergeCell ref="K82:K84"/>
    <mergeCell ref="K205:K207"/>
    <mergeCell ref="K208:K210"/>
    <mergeCell ref="K163:K165"/>
    <mergeCell ref="K202:K204"/>
    <mergeCell ref="K184:K186"/>
    <mergeCell ref="K181:K183"/>
    <mergeCell ref="K196:K198"/>
    <mergeCell ref="K172:K174"/>
    <mergeCell ref="D46:J48"/>
    <mergeCell ref="D58:J60"/>
    <mergeCell ref="D64:J66"/>
    <mergeCell ref="D67:J69"/>
    <mergeCell ref="D70:J72"/>
    <mergeCell ref="D73:J75"/>
    <mergeCell ref="D7:J9"/>
    <mergeCell ref="D16:J18"/>
    <mergeCell ref="D22:J24"/>
    <mergeCell ref="D25:J27"/>
    <mergeCell ref="D28:J30"/>
    <mergeCell ref="D31:J33"/>
    <mergeCell ref="D19:J21"/>
    <mergeCell ref="D55:J57"/>
    <mergeCell ref="D214:J216"/>
    <mergeCell ref="D217:J219"/>
    <mergeCell ref="D94:J96"/>
    <mergeCell ref="D103:J105"/>
    <mergeCell ref="D109:J111"/>
    <mergeCell ref="D112:J114"/>
    <mergeCell ref="D121:J123"/>
    <mergeCell ref="D142:J144"/>
    <mergeCell ref="D76:J78"/>
    <mergeCell ref="D85:J87"/>
    <mergeCell ref="D88:J90"/>
    <mergeCell ref="D82:J84"/>
    <mergeCell ref="D172:J174"/>
    <mergeCell ref="D211:J213"/>
    <mergeCell ref="D205:J207"/>
    <mergeCell ref="D97:J99"/>
    <mergeCell ref="D145:J147"/>
    <mergeCell ref="D136:J138"/>
    <mergeCell ref="D106:J108"/>
    <mergeCell ref="D208:J210"/>
    <mergeCell ref="D202:J204"/>
    <mergeCell ref="D184:J186"/>
    <mergeCell ref="D196:J198"/>
    <mergeCell ref="D199:J201"/>
  </mergeCells>
  <hyperlinks>
    <hyperlink ref="G1" location="Купол!A1" display="Купол"/>
    <hyperlink ref="H1" location="козырёк!A1" display="Козырьки"/>
    <hyperlink ref="J1" location="'Стены 1'!A1" display="Стены 1"/>
    <hyperlink ref="K1" location="Перекрытие2!A1" display="Перекрытие 2"/>
    <hyperlink ref="L1" location="Стены2!A1" display="Стены 2"/>
    <hyperlink ref="M1" location="Башня!A1" display="Обзорная башня"/>
    <hyperlink ref="P1" location="Доставка!A1" display="Окна"/>
    <hyperlink ref="F1" location="'Смета фунд.'!A1" display="Смета фундамента"/>
    <hyperlink ref="O1" location="Окна!A1" display="Окна"/>
    <hyperlink ref="D1" location="Главная!A1" display="Главная"/>
    <hyperlink ref="I1" location="'Перекрытия 1'!A1" display="Перекр.1"/>
    <hyperlink ref="E1" location="'Район фунд.'!A1" display="Район фундамента"/>
  </hyperlinks>
  <pageMargins left="0.7" right="0.7" top="0.75" bottom="0.75" header="0.3" footer="0.3"/>
  <pageSetup paperSize="9" orientation="portrait" horizontalDpi="180" verticalDpi="18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AT107"/>
  <sheetViews>
    <sheetView showGridLines="0" showRowColHeaders="0" workbookViewId="0">
      <pane ySplit="1" topLeftCell="A2" activePane="bottomLeft" state="frozen"/>
      <selection pane="bottomLeft" activeCell="G1" sqref="G1"/>
    </sheetView>
  </sheetViews>
  <sheetFormatPr defaultRowHeight="14.5"/>
  <cols>
    <col min="1" max="1" width="7.1796875" customWidth="1"/>
    <col min="2" max="14" width="9.453125" customWidth="1"/>
    <col min="15" max="20" width="9.6328125" customWidth="1"/>
  </cols>
  <sheetData>
    <row r="1" spans="1:46" ht="20" customHeight="1" thickTop="1" thickBot="1">
      <c r="A1" s="263"/>
      <c r="B1" s="204" t="s">
        <v>2612</v>
      </c>
      <c r="C1" s="278" t="s">
        <v>2682</v>
      </c>
      <c r="D1" s="278" t="s">
        <v>2662</v>
      </c>
      <c r="E1" s="278" t="s">
        <v>2603</v>
      </c>
      <c r="F1" s="323" t="s">
        <v>2604</v>
      </c>
      <c r="G1" s="418" t="s">
        <v>2613</v>
      </c>
      <c r="H1" s="204" t="s">
        <v>2607</v>
      </c>
      <c r="I1" s="278" t="s">
        <v>2614</v>
      </c>
      <c r="J1" s="278" t="s">
        <v>2608</v>
      </c>
      <c r="K1" s="519" t="s">
        <v>2605</v>
      </c>
      <c r="L1" s="520"/>
      <c r="M1" s="278" t="s">
        <v>2606</v>
      </c>
      <c r="N1" s="278" t="s">
        <v>2634</v>
      </c>
    </row>
    <row r="2" spans="1:46" ht="13" customHeight="1" thickTop="1">
      <c r="A2" s="263"/>
      <c r="B2" s="706" t="s">
        <v>2663</v>
      </c>
      <c r="C2" s="697"/>
      <c r="D2" s="697"/>
      <c r="E2" s="697"/>
      <c r="F2" s="697"/>
      <c r="G2" s="697"/>
      <c r="H2" s="697"/>
      <c r="I2" s="697"/>
      <c r="J2" s="697"/>
      <c r="K2" s="697"/>
      <c r="L2" s="697"/>
      <c r="M2" s="697"/>
      <c r="N2" s="697"/>
    </row>
    <row r="3" spans="1:46" ht="13" customHeight="1" thickBot="1">
      <c r="A3" s="263"/>
      <c r="B3" s="849"/>
      <c r="C3" s="698"/>
      <c r="D3" s="698"/>
      <c r="E3" s="698"/>
      <c r="F3" s="698"/>
      <c r="G3" s="698"/>
      <c r="H3" s="698"/>
      <c r="I3" s="698"/>
      <c r="J3" s="698"/>
      <c r="K3" s="698"/>
      <c r="L3" s="698"/>
      <c r="M3" s="698"/>
      <c r="N3" s="698"/>
    </row>
    <row r="4" spans="1:46" ht="10.5" customHeight="1" thickTop="1">
      <c r="A4" s="263"/>
      <c r="B4" s="504" t="s">
        <v>0</v>
      </c>
      <c r="C4" s="712"/>
      <c r="D4" s="712"/>
      <c r="E4" s="712"/>
      <c r="F4" s="712"/>
      <c r="G4" s="712"/>
      <c r="H4" s="713"/>
      <c r="I4" s="477" t="s">
        <v>1</v>
      </c>
      <c r="J4" s="479"/>
      <c r="K4" s="477" t="s">
        <v>2</v>
      </c>
      <c r="L4" s="479"/>
      <c r="M4" s="478" t="s">
        <v>3</v>
      </c>
      <c r="N4" s="479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</row>
    <row r="5" spans="1:46" ht="10.5" customHeight="1">
      <c r="A5" s="263"/>
      <c r="B5" s="714"/>
      <c r="C5" s="850"/>
      <c r="D5" s="850"/>
      <c r="E5" s="850"/>
      <c r="F5" s="850"/>
      <c r="G5" s="850"/>
      <c r="H5" s="716"/>
      <c r="I5" s="480"/>
      <c r="J5" s="482"/>
      <c r="K5" s="480"/>
      <c r="L5" s="482"/>
      <c r="M5" s="481"/>
      <c r="N5" s="482"/>
      <c r="AE5" s="174"/>
      <c r="AF5" s="174"/>
      <c r="AG5" s="174"/>
      <c r="AH5" s="174"/>
      <c r="AI5" s="174"/>
      <c r="AJ5" s="174"/>
      <c r="AK5" s="174"/>
      <c r="AL5" s="174"/>
      <c r="AM5" s="174"/>
      <c r="AN5" s="174"/>
      <c r="AO5" s="174"/>
      <c r="AP5" s="174"/>
      <c r="AQ5" s="174"/>
      <c r="AR5" s="174"/>
      <c r="AS5" s="174"/>
      <c r="AT5" s="174"/>
    </row>
    <row r="6" spans="1:46" ht="10.5" customHeight="1" thickBot="1">
      <c r="A6" s="263"/>
      <c r="B6" s="717"/>
      <c r="C6" s="710"/>
      <c r="D6" s="710"/>
      <c r="E6" s="710"/>
      <c r="F6" s="710"/>
      <c r="G6" s="710"/>
      <c r="H6" s="711"/>
      <c r="I6" s="483"/>
      <c r="J6" s="485"/>
      <c r="K6" s="483"/>
      <c r="L6" s="485"/>
      <c r="M6" s="484"/>
      <c r="N6" s="485"/>
      <c r="AE6" s="174"/>
      <c r="AF6" s="291"/>
      <c r="AG6" s="292"/>
      <c r="AH6" s="292"/>
      <c r="AI6" s="292"/>
      <c r="AJ6" s="292"/>
      <c r="AK6" s="292"/>
      <c r="AL6" s="292"/>
      <c r="AM6" s="292"/>
      <c r="AN6" s="292"/>
      <c r="AO6" s="292"/>
      <c r="AP6" s="292"/>
      <c r="AQ6" s="292"/>
      <c r="AR6" s="174"/>
      <c r="AS6" s="174"/>
      <c r="AT6" s="174"/>
    </row>
    <row r="7" spans="1:46" ht="6.5" customHeight="1" thickTop="1">
      <c r="A7" s="263"/>
      <c r="B7" s="730" t="s">
        <v>4</v>
      </c>
      <c r="C7" s="731"/>
      <c r="D7" s="731"/>
      <c r="E7" s="731"/>
      <c r="F7" s="731"/>
      <c r="G7" s="731"/>
      <c r="H7" s="814"/>
      <c r="I7" s="846">
        <v>1</v>
      </c>
      <c r="J7" s="687" t="s">
        <v>14</v>
      </c>
      <c r="K7" s="668">
        <v>3500</v>
      </c>
      <c r="L7" s="666" t="str">
        <f>IF('из города'!$AG$9=3,"Дол.",IF('из города'!$AG$9=1,"Руб.","Грн."))</f>
        <v>Грн.</v>
      </c>
      <c r="M7" s="664">
        <f>I7*K7</f>
        <v>3500</v>
      </c>
      <c r="N7" s="652" t="str">
        <f>IF('из города'!$AG$9=3,"Дол.",IF('из города'!$AG$9=1,"Руб.","Грн."))</f>
        <v>Грн.</v>
      </c>
      <c r="AE7" s="174"/>
      <c r="AF7" s="292"/>
      <c r="AG7" s="292"/>
      <c r="AH7" s="292"/>
      <c r="AI7" s="292"/>
      <c r="AJ7" s="292"/>
      <c r="AK7" s="292"/>
      <c r="AL7" s="292"/>
      <c r="AM7" s="292"/>
      <c r="AN7" s="292"/>
      <c r="AO7" s="292"/>
      <c r="AP7" s="292"/>
      <c r="AQ7" s="292"/>
      <c r="AR7" s="174"/>
      <c r="AS7" s="174"/>
      <c r="AT7" s="174"/>
    </row>
    <row r="8" spans="1:46" ht="6.5" customHeight="1">
      <c r="A8" s="263"/>
      <c r="B8" s="645"/>
      <c r="C8" s="646"/>
      <c r="D8" s="646"/>
      <c r="E8" s="646"/>
      <c r="F8" s="646"/>
      <c r="G8" s="646"/>
      <c r="H8" s="647"/>
      <c r="I8" s="846"/>
      <c r="J8" s="687"/>
      <c r="K8" s="668"/>
      <c r="L8" s="666"/>
      <c r="M8" s="664"/>
      <c r="N8" s="652"/>
      <c r="AE8" s="174"/>
      <c r="AF8" s="293"/>
      <c r="AG8" s="292"/>
      <c r="AH8" s="292"/>
      <c r="AI8" s="292"/>
      <c r="AJ8" s="292"/>
      <c r="AK8" s="292"/>
      <c r="AL8" s="294"/>
      <c r="AM8" s="292"/>
      <c r="AN8" s="295"/>
      <c r="AO8" s="296"/>
      <c r="AP8" s="295"/>
      <c r="AQ8" s="297"/>
      <c r="AR8" s="290"/>
      <c r="AS8" s="174"/>
      <c r="AT8" s="174"/>
    </row>
    <row r="9" spans="1:46" ht="6.5" customHeight="1">
      <c r="A9" s="263"/>
      <c r="B9" s="648"/>
      <c r="C9" s="649"/>
      <c r="D9" s="649"/>
      <c r="E9" s="649"/>
      <c r="F9" s="649"/>
      <c r="G9" s="649"/>
      <c r="H9" s="650"/>
      <c r="I9" s="847"/>
      <c r="J9" s="688"/>
      <c r="K9" s="689"/>
      <c r="L9" s="681"/>
      <c r="M9" s="682"/>
      <c r="N9" s="690"/>
      <c r="AE9" s="174"/>
      <c r="AF9" s="292"/>
      <c r="AG9" s="292"/>
      <c r="AH9" s="292"/>
      <c r="AI9" s="292"/>
      <c r="AJ9" s="292"/>
      <c r="AK9" s="292"/>
      <c r="AL9" s="292"/>
      <c r="AM9" s="292"/>
      <c r="AN9" s="295"/>
      <c r="AO9" s="292"/>
      <c r="AP9" s="295"/>
      <c r="AQ9" s="292"/>
      <c r="AR9" s="290"/>
      <c r="AS9" s="174"/>
      <c r="AT9" s="174"/>
    </row>
    <row r="10" spans="1:46" ht="6.5" customHeight="1">
      <c r="A10" s="263"/>
      <c r="B10" s="738" t="s">
        <v>2140</v>
      </c>
      <c r="C10" s="739"/>
      <c r="D10" s="739"/>
      <c r="E10" s="739"/>
      <c r="F10" s="739"/>
      <c r="G10" s="739"/>
      <c r="H10" s="842"/>
      <c r="I10" s="846">
        <v>1</v>
      </c>
      <c r="J10" s="686" t="s">
        <v>13</v>
      </c>
      <c r="K10" s="667">
        <v>170</v>
      </c>
      <c r="L10" s="665" t="str">
        <f>IF('из города'!$AG$9=3,"Дол.",IF('из города'!$AG$9=1,"Руб.","Грн."))</f>
        <v>Грн.</v>
      </c>
      <c r="M10" s="663">
        <f>I10*K10</f>
        <v>170</v>
      </c>
      <c r="N10" s="651" t="str">
        <f>IF('из города'!$AG$9=3,"Дол.",IF('из города'!$AG$9=1,"Руб.","Грн."))</f>
        <v>Грн.</v>
      </c>
      <c r="AE10" s="174"/>
      <c r="AF10" s="292"/>
      <c r="AG10" s="292"/>
      <c r="AH10" s="292"/>
      <c r="AI10" s="292"/>
      <c r="AJ10" s="292"/>
      <c r="AK10" s="292"/>
      <c r="AL10" s="292"/>
      <c r="AM10" s="292"/>
      <c r="AN10" s="295"/>
      <c r="AO10" s="292"/>
      <c r="AP10" s="295"/>
      <c r="AQ10" s="292"/>
      <c r="AR10" s="290"/>
      <c r="AS10" s="174"/>
      <c r="AT10" s="174"/>
    </row>
    <row r="11" spans="1:46" ht="6.5" customHeight="1">
      <c r="A11" s="263"/>
      <c r="B11" s="740"/>
      <c r="C11" s="741"/>
      <c r="D11" s="741"/>
      <c r="E11" s="741"/>
      <c r="F11" s="741"/>
      <c r="G11" s="741"/>
      <c r="H11" s="843"/>
      <c r="I11" s="846"/>
      <c r="J11" s="687"/>
      <c r="K11" s="668"/>
      <c r="L11" s="666"/>
      <c r="M11" s="664"/>
      <c r="N11" s="652"/>
      <c r="AE11" s="174"/>
      <c r="AF11" s="298"/>
      <c r="AG11" s="292"/>
      <c r="AH11" s="292"/>
      <c r="AI11" s="292"/>
      <c r="AJ11" s="292"/>
      <c r="AK11" s="292"/>
      <c r="AL11" s="299"/>
      <c r="AM11" s="292"/>
      <c r="AN11" s="295"/>
      <c r="AO11" s="300"/>
      <c r="AP11" s="295"/>
      <c r="AQ11" s="298"/>
      <c r="AR11" s="295"/>
      <c r="AS11" s="174"/>
      <c r="AT11" s="174"/>
    </row>
    <row r="12" spans="1:46" ht="6.5" customHeight="1">
      <c r="A12" s="263"/>
      <c r="B12" s="742"/>
      <c r="C12" s="743"/>
      <c r="D12" s="743"/>
      <c r="E12" s="743"/>
      <c r="F12" s="743"/>
      <c r="G12" s="743"/>
      <c r="H12" s="844"/>
      <c r="I12" s="847"/>
      <c r="J12" s="688"/>
      <c r="K12" s="689"/>
      <c r="L12" s="681"/>
      <c r="M12" s="682"/>
      <c r="N12" s="690"/>
      <c r="AE12" s="174"/>
      <c r="AF12" s="292"/>
      <c r="AG12" s="292"/>
      <c r="AH12" s="292"/>
      <c r="AI12" s="292"/>
      <c r="AJ12" s="292"/>
      <c r="AK12" s="292"/>
      <c r="AL12" s="292"/>
      <c r="AM12" s="292"/>
      <c r="AN12" s="295"/>
      <c r="AO12" s="292"/>
      <c r="AP12" s="295"/>
      <c r="AQ12" s="292"/>
      <c r="AR12" s="295"/>
      <c r="AS12" s="174"/>
      <c r="AT12" s="174"/>
    </row>
    <row r="13" spans="1:46" ht="6.5" customHeight="1">
      <c r="A13" s="263"/>
      <c r="B13" s="677" t="s">
        <v>2141</v>
      </c>
      <c r="C13" s="643"/>
      <c r="D13" s="643"/>
      <c r="E13" s="643"/>
      <c r="F13" s="643"/>
      <c r="G13" s="643"/>
      <c r="H13" s="644"/>
      <c r="I13" s="846">
        <v>1</v>
      </c>
      <c r="J13" s="686" t="s">
        <v>13</v>
      </c>
      <c r="K13" s="667">
        <v>50</v>
      </c>
      <c r="L13" s="665" t="str">
        <f>IF('из города'!$AG$9=3,"Дол.",IF('из города'!$AG$9=1,"Руб.","Грн."))</f>
        <v>Грн.</v>
      </c>
      <c r="M13" s="663">
        <f>I13*K13</f>
        <v>50</v>
      </c>
      <c r="N13" s="651" t="str">
        <f>IF('из города'!$AG$9=3,"Дол.",IF('из города'!$AG$9=1,"Руб.","Грн."))</f>
        <v>Грн.</v>
      </c>
      <c r="AE13" s="174"/>
      <c r="AF13" s="292"/>
      <c r="AG13" s="292"/>
      <c r="AH13" s="292"/>
      <c r="AI13" s="292"/>
      <c r="AJ13" s="292"/>
      <c r="AK13" s="292"/>
      <c r="AL13" s="292"/>
      <c r="AM13" s="292"/>
      <c r="AN13" s="295"/>
      <c r="AO13" s="292"/>
      <c r="AP13" s="295"/>
      <c r="AQ13" s="292"/>
      <c r="AR13" s="295"/>
      <c r="AS13" s="174"/>
      <c r="AT13" s="174"/>
    </row>
    <row r="14" spans="1:46" ht="6.5" customHeight="1">
      <c r="A14" s="263"/>
      <c r="B14" s="645"/>
      <c r="C14" s="646"/>
      <c r="D14" s="646"/>
      <c r="E14" s="646"/>
      <c r="F14" s="646"/>
      <c r="G14" s="646"/>
      <c r="H14" s="647"/>
      <c r="I14" s="846"/>
      <c r="J14" s="687"/>
      <c r="K14" s="668"/>
      <c r="L14" s="666"/>
      <c r="M14" s="664"/>
      <c r="N14" s="652"/>
      <c r="AE14" s="174"/>
      <c r="AF14" s="298"/>
      <c r="AG14" s="292"/>
      <c r="AH14" s="292"/>
      <c r="AI14" s="292"/>
      <c r="AJ14" s="292"/>
      <c r="AK14" s="292"/>
      <c r="AL14" s="299"/>
      <c r="AM14" s="292"/>
      <c r="AN14" s="295"/>
      <c r="AO14" s="300"/>
      <c r="AP14" s="295"/>
      <c r="AQ14" s="298"/>
      <c r="AR14" s="295"/>
      <c r="AS14" s="174"/>
      <c r="AT14" s="174"/>
    </row>
    <row r="15" spans="1:46" ht="6.5" customHeight="1">
      <c r="A15" s="263"/>
      <c r="B15" s="648"/>
      <c r="C15" s="649"/>
      <c r="D15" s="649"/>
      <c r="E15" s="649"/>
      <c r="F15" s="649"/>
      <c r="G15" s="649"/>
      <c r="H15" s="650"/>
      <c r="I15" s="847"/>
      <c r="J15" s="688"/>
      <c r="K15" s="689"/>
      <c r="L15" s="681"/>
      <c r="M15" s="682"/>
      <c r="N15" s="690"/>
      <c r="AE15" s="174"/>
      <c r="AF15" s="292"/>
      <c r="AG15" s="292"/>
      <c r="AH15" s="292"/>
      <c r="AI15" s="292"/>
      <c r="AJ15" s="292"/>
      <c r="AK15" s="292"/>
      <c r="AL15" s="292"/>
      <c r="AM15" s="292"/>
      <c r="AN15" s="295"/>
      <c r="AO15" s="292"/>
      <c r="AP15" s="295"/>
      <c r="AQ15" s="292"/>
      <c r="AR15" s="295"/>
      <c r="AS15" s="174"/>
      <c r="AT15" s="174"/>
    </row>
    <row r="16" spans="1:46" ht="6.5" customHeight="1">
      <c r="A16" s="263"/>
      <c r="B16" s="677" t="s">
        <v>6</v>
      </c>
      <c r="C16" s="643"/>
      <c r="D16" s="643"/>
      <c r="E16" s="643"/>
      <c r="F16" s="643"/>
      <c r="G16" s="643"/>
      <c r="H16" s="644"/>
      <c r="I16" s="846">
        <v>1</v>
      </c>
      <c r="J16" s="686" t="s">
        <v>2155</v>
      </c>
      <c r="K16" s="667">
        <v>60</v>
      </c>
      <c r="L16" s="665" t="str">
        <f>IF('из города'!$AG$9=3,"Дол.",IF('из города'!$AG$9=1,"Руб.","Грн."))</f>
        <v>Грн.</v>
      </c>
      <c r="M16" s="663">
        <f>I16*K16</f>
        <v>60</v>
      </c>
      <c r="N16" s="651" t="str">
        <f>IF('из города'!$AG$9=3,"Дол.",IF('из города'!$AG$9=1,"Руб.","Грн."))</f>
        <v>Грн.</v>
      </c>
      <c r="AE16" s="174"/>
      <c r="AF16" s="292"/>
      <c r="AG16" s="292"/>
      <c r="AH16" s="292"/>
      <c r="AI16" s="292"/>
      <c r="AJ16" s="292"/>
      <c r="AK16" s="292"/>
      <c r="AL16" s="292"/>
      <c r="AM16" s="292"/>
      <c r="AN16" s="295"/>
      <c r="AO16" s="292"/>
      <c r="AP16" s="295"/>
      <c r="AQ16" s="292"/>
      <c r="AR16" s="295"/>
      <c r="AS16" s="174"/>
      <c r="AT16" s="174"/>
    </row>
    <row r="17" spans="1:46" ht="6.5" customHeight="1">
      <c r="A17" s="263"/>
      <c r="B17" s="645"/>
      <c r="C17" s="646"/>
      <c r="D17" s="646"/>
      <c r="E17" s="646"/>
      <c r="F17" s="646"/>
      <c r="G17" s="646"/>
      <c r="H17" s="647"/>
      <c r="I17" s="846"/>
      <c r="J17" s="687"/>
      <c r="K17" s="668"/>
      <c r="L17" s="666"/>
      <c r="M17" s="664"/>
      <c r="N17" s="652"/>
      <c r="AE17" s="174"/>
      <c r="AF17" s="298"/>
      <c r="AG17" s="292"/>
      <c r="AH17" s="292"/>
      <c r="AI17" s="292"/>
      <c r="AJ17" s="292"/>
      <c r="AK17" s="292"/>
      <c r="AL17" s="299"/>
      <c r="AM17" s="292"/>
      <c r="AN17" s="295"/>
      <c r="AO17" s="300"/>
      <c r="AP17" s="295"/>
      <c r="AQ17" s="298"/>
      <c r="AR17" s="295"/>
      <c r="AS17" s="174"/>
      <c r="AT17" s="174"/>
    </row>
    <row r="18" spans="1:46" ht="6.5" customHeight="1">
      <c r="A18" s="263"/>
      <c r="B18" s="648"/>
      <c r="C18" s="649"/>
      <c r="D18" s="649"/>
      <c r="E18" s="649"/>
      <c r="F18" s="649"/>
      <c r="G18" s="649"/>
      <c r="H18" s="650"/>
      <c r="I18" s="847"/>
      <c r="J18" s="688"/>
      <c r="K18" s="689"/>
      <c r="L18" s="681"/>
      <c r="M18" s="682"/>
      <c r="N18" s="690"/>
      <c r="AE18" s="174"/>
      <c r="AF18" s="292"/>
      <c r="AG18" s="292"/>
      <c r="AH18" s="292"/>
      <c r="AI18" s="292"/>
      <c r="AJ18" s="292"/>
      <c r="AK18" s="292"/>
      <c r="AL18" s="292"/>
      <c r="AM18" s="292"/>
      <c r="AN18" s="295"/>
      <c r="AO18" s="292"/>
      <c r="AP18" s="295"/>
      <c r="AQ18" s="292"/>
      <c r="AR18" s="295"/>
      <c r="AS18" s="174"/>
      <c r="AT18" s="174"/>
    </row>
    <row r="19" spans="1:46" ht="6.5" customHeight="1">
      <c r="A19" s="263"/>
      <c r="B19" s="677" t="s">
        <v>2741</v>
      </c>
      <c r="C19" s="643"/>
      <c r="D19" s="643"/>
      <c r="E19" s="643"/>
      <c r="F19" s="643"/>
      <c r="G19" s="643"/>
      <c r="H19" s="644"/>
      <c r="I19" s="846">
        <v>1</v>
      </c>
      <c r="J19" s="686" t="s">
        <v>13</v>
      </c>
      <c r="K19" s="667">
        <v>170</v>
      </c>
      <c r="L19" s="665" t="str">
        <f>IF('из города'!$AG$9=3,"Дол.",IF('из города'!$AG$9=1,"Руб.","Грн."))</f>
        <v>Грн.</v>
      </c>
      <c r="M19" s="663">
        <f>I19*K19</f>
        <v>170</v>
      </c>
      <c r="N19" s="651" t="str">
        <f>IF('из города'!$AG$9=3,"Дол.",IF('из города'!$AG$9=1,"Руб.","Грн."))</f>
        <v>Грн.</v>
      </c>
      <c r="AE19" s="174"/>
      <c r="AF19" s="292"/>
      <c r="AG19" s="292"/>
      <c r="AH19" s="292"/>
      <c r="AI19" s="292"/>
      <c r="AJ19" s="292"/>
      <c r="AK19" s="292"/>
      <c r="AL19" s="292"/>
      <c r="AM19" s="292"/>
      <c r="AN19" s="295"/>
      <c r="AO19" s="292"/>
      <c r="AP19" s="295"/>
      <c r="AQ19" s="292"/>
      <c r="AR19" s="295"/>
      <c r="AS19" s="174"/>
      <c r="AT19" s="174"/>
    </row>
    <row r="20" spans="1:46" ht="6.5" customHeight="1">
      <c r="A20" s="263"/>
      <c r="B20" s="645"/>
      <c r="C20" s="646"/>
      <c r="D20" s="646"/>
      <c r="E20" s="646"/>
      <c r="F20" s="646"/>
      <c r="G20" s="646"/>
      <c r="H20" s="647"/>
      <c r="I20" s="846"/>
      <c r="J20" s="687"/>
      <c r="K20" s="668"/>
      <c r="L20" s="666"/>
      <c r="M20" s="664"/>
      <c r="N20" s="652"/>
      <c r="AE20" s="174"/>
      <c r="AF20" s="298"/>
      <c r="AG20" s="292"/>
      <c r="AH20" s="292"/>
      <c r="AI20" s="292"/>
      <c r="AJ20" s="292"/>
      <c r="AK20" s="292"/>
      <c r="AL20" s="299"/>
      <c r="AM20" s="292"/>
      <c r="AN20" s="295"/>
      <c r="AO20" s="300"/>
      <c r="AP20" s="295"/>
      <c r="AQ20" s="298"/>
      <c r="AR20" s="295"/>
      <c r="AS20" s="174"/>
      <c r="AT20" s="174"/>
    </row>
    <row r="21" spans="1:46" ht="6.5" customHeight="1">
      <c r="A21" s="263"/>
      <c r="B21" s="648"/>
      <c r="C21" s="649"/>
      <c r="D21" s="649"/>
      <c r="E21" s="649"/>
      <c r="F21" s="649"/>
      <c r="G21" s="649"/>
      <c r="H21" s="650"/>
      <c r="I21" s="847"/>
      <c r="J21" s="688"/>
      <c r="K21" s="689"/>
      <c r="L21" s="681"/>
      <c r="M21" s="682"/>
      <c r="N21" s="690"/>
      <c r="AE21" s="174"/>
      <c r="AF21" s="292"/>
      <c r="AG21" s="292"/>
      <c r="AH21" s="292"/>
      <c r="AI21" s="292"/>
      <c r="AJ21" s="292"/>
      <c r="AK21" s="292"/>
      <c r="AL21" s="292"/>
      <c r="AM21" s="292"/>
      <c r="AN21" s="295"/>
      <c r="AO21" s="292"/>
      <c r="AP21" s="295"/>
      <c r="AQ21" s="292"/>
      <c r="AR21" s="295"/>
      <c r="AS21" s="174"/>
      <c r="AT21" s="174"/>
    </row>
    <row r="22" spans="1:46" ht="6.5" customHeight="1">
      <c r="A22" s="263"/>
      <c r="B22" s="677" t="s">
        <v>2740</v>
      </c>
      <c r="C22" s="643"/>
      <c r="D22" s="643"/>
      <c r="E22" s="643"/>
      <c r="F22" s="643"/>
      <c r="G22" s="643"/>
      <c r="H22" s="644"/>
      <c r="I22" s="846">
        <v>1</v>
      </c>
      <c r="J22" s="686" t="s">
        <v>13</v>
      </c>
      <c r="K22" s="667">
        <v>170</v>
      </c>
      <c r="L22" s="665" t="str">
        <f>IF('из города'!$AG$9=3,"Дол.",IF('из города'!$AG$9=1,"Руб.","Грн."))</f>
        <v>Грн.</v>
      </c>
      <c r="M22" s="663">
        <f>I22*K22</f>
        <v>170</v>
      </c>
      <c r="N22" s="651" t="str">
        <f>IF('из города'!$AG$9=3,"Дол.",IF('из города'!$AG$9=1,"Руб.","Грн."))</f>
        <v>Грн.</v>
      </c>
      <c r="AE22" s="174"/>
      <c r="AF22" s="292"/>
      <c r="AG22" s="292"/>
      <c r="AH22" s="292"/>
      <c r="AI22" s="292"/>
      <c r="AJ22" s="292"/>
      <c r="AK22" s="292"/>
      <c r="AL22" s="292"/>
      <c r="AM22" s="292"/>
      <c r="AN22" s="295"/>
      <c r="AO22" s="292"/>
      <c r="AP22" s="295"/>
      <c r="AQ22" s="292"/>
      <c r="AR22" s="295"/>
      <c r="AS22" s="174"/>
      <c r="AT22" s="174"/>
    </row>
    <row r="23" spans="1:46" ht="6.5" customHeight="1">
      <c r="A23" s="263"/>
      <c r="B23" s="645"/>
      <c r="C23" s="646"/>
      <c r="D23" s="646"/>
      <c r="E23" s="646"/>
      <c r="F23" s="646"/>
      <c r="G23" s="646"/>
      <c r="H23" s="647"/>
      <c r="I23" s="846"/>
      <c r="J23" s="687"/>
      <c r="K23" s="668"/>
      <c r="L23" s="666"/>
      <c r="M23" s="664"/>
      <c r="N23" s="652"/>
      <c r="AE23" s="174"/>
      <c r="AF23" s="298"/>
      <c r="AG23" s="292"/>
      <c r="AH23" s="292"/>
      <c r="AI23" s="292"/>
      <c r="AJ23" s="292"/>
      <c r="AK23" s="292"/>
      <c r="AL23" s="299"/>
      <c r="AM23" s="292"/>
      <c r="AN23" s="295"/>
      <c r="AO23" s="300"/>
      <c r="AP23" s="295"/>
      <c r="AQ23" s="298"/>
      <c r="AR23" s="295"/>
      <c r="AS23" s="174"/>
      <c r="AT23" s="174"/>
    </row>
    <row r="24" spans="1:46" ht="6.5" customHeight="1">
      <c r="A24" s="263"/>
      <c r="B24" s="648"/>
      <c r="C24" s="649"/>
      <c r="D24" s="649"/>
      <c r="E24" s="649"/>
      <c r="F24" s="649"/>
      <c r="G24" s="649"/>
      <c r="H24" s="650"/>
      <c r="I24" s="847"/>
      <c r="J24" s="688"/>
      <c r="K24" s="689"/>
      <c r="L24" s="681"/>
      <c r="M24" s="682"/>
      <c r="N24" s="690"/>
      <c r="AE24" s="174"/>
      <c r="AF24" s="292"/>
      <c r="AG24" s="292"/>
      <c r="AH24" s="292"/>
      <c r="AI24" s="292"/>
      <c r="AJ24" s="292"/>
      <c r="AK24" s="292"/>
      <c r="AL24" s="292"/>
      <c r="AM24" s="292"/>
      <c r="AN24" s="295"/>
      <c r="AO24" s="292"/>
      <c r="AP24" s="295"/>
      <c r="AQ24" s="292"/>
      <c r="AR24" s="295"/>
      <c r="AS24" s="174"/>
      <c r="AT24" s="174"/>
    </row>
    <row r="25" spans="1:46" ht="6.5" customHeight="1">
      <c r="A25" s="263"/>
      <c r="B25" s="677" t="s">
        <v>2142</v>
      </c>
      <c r="C25" s="643"/>
      <c r="D25" s="643"/>
      <c r="E25" s="643"/>
      <c r="F25" s="643"/>
      <c r="G25" s="643"/>
      <c r="H25" s="644"/>
      <c r="I25" s="846">
        <v>1</v>
      </c>
      <c r="J25" s="686" t="s">
        <v>2155</v>
      </c>
      <c r="K25" s="667">
        <v>140</v>
      </c>
      <c r="L25" s="665" t="str">
        <f>IF('из города'!$AG$9=3,"Дол.",IF('из города'!$AG$9=1,"Руб.","Грн."))</f>
        <v>Грн.</v>
      </c>
      <c r="M25" s="663">
        <f>I25*K25</f>
        <v>140</v>
      </c>
      <c r="N25" s="651" t="str">
        <f>IF('из города'!$AG$9=3,"Дол.",IF('из города'!$AG$9=1,"Руб.","Грн."))</f>
        <v>Грн.</v>
      </c>
      <c r="AE25" s="174"/>
      <c r="AF25" s="292"/>
      <c r="AG25" s="292"/>
      <c r="AH25" s="292"/>
      <c r="AI25" s="292"/>
      <c r="AJ25" s="292"/>
      <c r="AK25" s="292"/>
      <c r="AL25" s="292"/>
      <c r="AM25" s="292"/>
      <c r="AN25" s="295"/>
      <c r="AO25" s="292"/>
      <c r="AP25" s="295"/>
      <c r="AQ25" s="292"/>
      <c r="AR25" s="295"/>
      <c r="AS25" s="174"/>
      <c r="AT25" s="174"/>
    </row>
    <row r="26" spans="1:46" ht="6.5" customHeight="1">
      <c r="A26" s="263"/>
      <c r="B26" s="645"/>
      <c r="C26" s="646"/>
      <c r="D26" s="646"/>
      <c r="E26" s="646"/>
      <c r="F26" s="646"/>
      <c r="G26" s="646"/>
      <c r="H26" s="647"/>
      <c r="I26" s="846"/>
      <c r="J26" s="687"/>
      <c r="K26" s="668"/>
      <c r="L26" s="666"/>
      <c r="M26" s="664"/>
      <c r="N26" s="652"/>
      <c r="AE26" s="174"/>
      <c r="AF26" s="301"/>
      <c r="AG26" s="292"/>
      <c r="AH26" s="292"/>
      <c r="AI26" s="292"/>
      <c r="AJ26" s="292"/>
      <c r="AK26" s="292"/>
      <c r="AL26" s="299"/>
      <c r="AM26" s="292"/>
      <c r="AN26" s="295"/>
      <c r="AO26" s="300"/>
      <c r="AP26" s="295"/>
      <c r="AQ26" s="298"/>
      <c r="AR26" s="295"/>
      <c r="AS26" s="174"/>
      <c r="AT26" s="174"/>
    </row>
    <row r="27" spans="1:46" ht="6.5" customHeight="1">
      <c r="A27" s="263"/>
      <c r="B27" s="648"/>
      <c r="C27" s="649"/>
      <c r="D27" s="649"/>
      <c r="E27" s="649"/>
      <c r="F27" s="649"/>
      <c r="G27" s="649"/>
      <c r="H27" s="650"/>
      <c r="I27" s="847"/>
      <c r="J27" s="688"/>
      <c r="K27" s="689"/>
      <c r="L27" s="681"/>
      <c r="M27" s="682"/>
      <c r="N27" s="690"/>
      <c r="AE27" s="174"/>
      <c r="AF27" s="292"/>
      <c r="AG27" s="292"/>
      <c r="AH27" s="292"/>
      <c r="AI27" s="292"/>
      <c r="AJ27" s="292"/>
      <c r="AK27" s="292"/>
      <c r="AL27" s="292"/>
      <c r="AM27" s="292"/>
      <c r="AN27" s="295"/>
      <c r="AO27" s="292"/>
      <c r="AP27" s="295"/>
      <c r="AQ27" s="292"/>
      <c r="AR27" s="295"/>
      <c r="AS27" s="174"/>
      <c r="AT27" s="174"/>
    </row>
    <row r="28" spans="1:46" ht="6.5" customHeight="1">
      <c r="A28" s="263"/>
      <c r="B28" s="642" t="s">
        <v>2143</v>
      </c>
      <c r="C28" s="718"/>
      <c r="D28" s="718"/>
      <c r="E28" s="718"/>
      <c r="F28" s="718"/>
      <c r="G28" s="718"/>
      <c r="H28" s="719"/>
      <c r="I28" s="846">
        <v>1</v>
      </c>
      <c r="J28" s="686" t="s">
        <v>2155</v>
      </c>
      <c r="K28" s="667">
        <v>140</v>
      </c>
      <c r="L28" s="665" t="str">
        <f>IF('из города'!$AG$9=3,"Дол.",IF('из города'!$AG$9=1,"Руб.","Грн."))</f>
        <v>Грн.</v>
      </c>
      <c r="M28" s="663">
        <f>I28*K28</f>
        <v>140</v>
      </c>
      <c r="N28" s="651" t="str">
        <f>IF('из города'!$AG$9=3,"Дол.",IF('из города'!$AG$9=1,"Руб.","Грн."))</f>
        <v>Грн.</v>
      </c>
      <c r="AE28" s="174"/>
      <c r="AF28" s="292"/>
      <c r="AG28" s="292"/>
      <c r="AH28" s="292"/>
      <c r="AI28" s="292"/>
      <c r="AJ28" s="292"/>
      <c r="AK28" s="292"/>
      <c r="AL28" s="292"/>
      <c r="AM28" s="292"/>
      <c r="AN28" s="295"/>
      <c r="AO28" s="292"/>
      <c r="AP28" s="295"/>
      <c r="AQ28" s="292"/>
      <c r="AR28" s="295"/>
      <c r="AS28" s="174"/>
      <c r="AT28" s="174"/>
    </row>
    <row r="29" spans="1:46" ht="6.5" customHeight="1">
      <c r="A29" s="263"/>
      <c r="B29" s="720"/>
      <c r="C29" s="721"/>
      <c r="D29" s="721"/>
      <c r="E29" s="721"/>
      <c r="F29" s="721"/>
      <c r="G29" s="721"/>
      <c r="H29" s="722"/>
      <c r="I29" s="846"/>
      <c r="J29" s="687"/>
      <c r="K29" s="668"/>
      <c r="L29" s="666"/>
      <c r="M29" s="664"/>
      <c r="N29" s="652"/>
      <c r="AE29" s="174"/>
      <c r="AF29" s="302"/>
      <c r="AG29" s="292"/>
      <c r="AH29" s="292"/>
      <c r="AI29" s="292"/>
      <c r="AJ29" s="292"/>
      <c r="AK29" s="292"/>
      <c r="AL29" s="299"/>
      <c r="AM29" s="292"/>
      <c r="AN29" s="295"/>
      <c r="AO29" s="300"/>
      <c r="AP29" s="295"/>
      <c r="AQ29" s="298"/>
      <c r="AR29" s="295"/>
      <c r="AS29" s="174"/>
      <c r="AT29" s="174"/>
    </row>
    <row r="30" spans="1:46" ht="6.5" customHeight="1">
      <c r="A30" s="263"/>
      <c r="B30" s="723"/>
      <c r="C30" s="724"/>
      <c r="D30" s="724"/>
      <c r="E30" s="724"/>
      <c r="F30" s="724"/>
      <c r="G30" s="724"/>
      <c r="H30" s="725"/>
      <c r="I30" s="847"/>
      <c r="J30" s="688"/>
      <c r="K30" s="689"/>
      <c r="L30" s="681"/>
      <c r="M30" s="682"/>
      <c r="N30" s="690"/>
      <c r="AE30" s="174"/>
      <c r="AF30" s="292"/>
      <c r="AG30" s="292"/>
      <c r="AH30" s="292"/>
      <c r="AI30" s="292"/>
      <c r="AJ30" s="292"/>
      <c r="AK30" s="292"/>
      <c r="AL30" s="292"/>
      <c r="AM30" s="292"/>
      <c r="AN30" s="295"/>
      <c r="AO30" s="292"/>
      <c r="AP30" s="295"/>
      <c r="AQ30" s="292"/>
      <c r="AR30" s="295"/>
      <c r="AS30" s="174"/>
      <c r="AT30" s="174"/>
    </row>
    <row r="31" spans="1:46" ht="6.5" customHeight="1">
      <c r="A31" s="263"/>
      <c r="B31" s="645" t="s">
        <v>2144</v>
      </c>
      <c r="C31" s="646"/>
      <c r="D31" s="646"/>
      <c r="E31" s="646"/>
      <c r="F31" s="646"/>
      <c r="G31" s="646"/>
      <c r="H31" s="647"/>
      <c r="I31" s="846">
        <v>1</v>
      </c>
      <c r="J31" s="686" t="s">
        <v>2155</v>
      </c>
      <c r="K31" s="667">
        <v>140</v>
      </c>
      <c r="L31" s="665" t="str">
        <f>IF('из города'!$AG$9=3,"Дол.",IF('из города'!$AG$9=1,"Руб.","Грн."))</f>
        <v>Грн.</v>
      </c>
      <c r="M31" s="663">
        <f>I31*K31</f>
        <v>140</v>
      </c>
      <c r="N31" s="651" t="str">
        <f>IF('из города'!$AG$9=3,"Дол.",IF('из города'!$AG$9=1,"Руб.","Грн."))</f>
        <v>Грн.</v>
      </c>
      <c r="AE31" s="174"/>
      <c r="AF31" s="292"/>
      <c r="AG31" s="292"/>
      <c r="AH31" s="292"/>
      <c r="AI31" s="292"/>
      <c r="AJ31" s="292"/>
      <c r="AK31" s="292"/>
      <c r="AL31" s="292"/>
      <c r="AM31" s="292"/>
      <c r="AN31" s="295"/>
      <c r="AO31" s="292"/>
      <c r="AP31" s="295"/>
      <c r="AQ31" s="292"/>
      <c r="AR31" s="295"/>
      <c r="AS31" s="174"/>
      <c r="AT31" s="174"/>
    </row>
    <row r="32" spans="1:46" ht="6.5" customHeight="1">
      <c r="A32" s="263"/>
      <c r="B32" s="645"/>
      <c r="C32" s="646"/>
      <c r="D32" s="646"/>
      <c r="E32" s="646"/>
      <c r="F32" s="646"/>
      <c r="G32" s="646"/>
      <c r="H32" s="647"/>
      <c r="I32" s="846"/>
      <c r="J32" s="687"/>
      <c r="K32" s="668"/>
      <c r="L32" s="666"/>
      <c r="M32" s="664"/>
      <c r="N32" s="652"/>
      <c r="AE32" s="174"/>
      <c r="AF32" s="302"/>
      <c r="AG32" s="292"/>
      <c r="AH32" s="292"/>
      <c r="AI32" s="292"/>
      <c r="AJ32" s="292"/>
      <c r="AK32" s="292"/>
      <c r="AL32" s="299"/>
      <c r="AM32" s="292"/>
      <c r="AN32" s="295"/>
      <c r="AO32" s="300"/>
      <c r="AP32" s="295"/>
      <c r="AQ32" s="298"/>
      <c r="AR32" s="295"/>
      <c r="AS32" s="174"/>
      <c r="AT32" s="174"/>
    </row>
    <row r="33" spans="1:46" ht="6.5" customHeight="1">
      <c r="A33" s="263"/>
      <c r="B33" s="648"/>
      <c r="C33" s="649"/>
      <c r="D33" s="649"/>
      <c r="E33" s="649"/>
      <c r="F33" s="649"/>
      <c r="G33" s="649"/>
      <c r="H33" s="650"/>
      <c r="I33" s="847"/>
      <c r="J33" s="688"/>
      <c r="K33" s="689"/>
      <c r="L33" s="681"/>
      <c r="M33" s="682"/>
      <c r="N33" s="690"/>
      <c r="AE33" s="174"/>
      <c r="AF33" s="292"/>
      <c r="AG33" s="292"/>
      <c r="AH33" s="292"/>
      <c r="AI33" s="292"/>
      <c r="AJ33" s="292"/>
      <c r="AK33" s="292"/>
      <c r="AL33" s="292"/>
      <c r="AM33" s="292"/>
      <c r="AN33" s="295"/>
      <c r="AO33" s="292"/>
      <c r="AP33" s="295"/>
      <c r="AQ33" s="292"/>
      <c r="AR33" s="295"/>
      <c r="AS33" s="174"/>
      <c r="AT33" s="174"/>
    </row>
    <row r="34" spans="1:46" ht="6.5" customHeight="1">
      <c r="A34" s="263"/>
      <c r="B34" s="677" t="s">
        <v>2145</v>
      </c>
      <c r="C34" s="643"/>
      <c r="D34" s="643"/>
      <c r="E34" s="643"/>
      <c r="F34" s="643"/>
      <c r="G34" s="643"/>
      <c r="H34" s="644"/>
      <c r="I34" s="846">
        <v>1</v>
      </c>
      <c r="J34" s="686" t="s">
        <v>2619</v>
      </c>
      <c r="K34" s="667">
        <v>100</v>
      </c>
      <c r="L34" s="665" t="str">
        <f>IF('из города'!$AG$9=3,"Дол.",IF('из города'!$AG$9=1,"Руб.","Грн."))</f>
        <v>Грн.</v>
      </c>
      <c r="M34" s="663">
        <f>I34*K34</f>
        <v>100</v>
      </c>
      <c r="N34" s="651" t="str">
        <f>IF('из города'!$AG$9=3,"Дол.",IF('из города'!$AG$9=1,"Руб.","Грн."))</f>
        <v>Грн.</v>
      </c>
      <c r="AE34" s="174"/>
      <c r="AF34" s="292"/>
      <c r="AG34" s="292"/>
      <c r="AH34" s="292"/>
      <c r="AI34" s="292"/>
      <c r="AJ34" s="292"/>
      <c r="AK34" s="292"/>
      <c r="AL34" s="292"/>
      <c r="AM34" s="292"/>
      <c r="AN34" s="295"/>
      <c r="AO34" s="292"/>
      <c r="AP34" s="295"/>
      <c r="AQ34" s="292"/>
      <c r="AR34" s="295"/>
      <c r="AS34" s="174"/>
      <c r="AT34" s="174"/>
    </row>
    <row r="35" spans="1:46" ht="6.5" customHeight="1">
      <c r="A35" s="263"/>
      <c r="B35" s="645"/>
      <c r="C35" s="646"/>
      <c r="D35" s="646"/>
      <c r="E35" s="646"/>
      <c r="F35" s="646"/>
      <c r="G35" s="646"/>
      <c r="H35" s="647"/>
      <c r="I35" s="846"/>
      <c r="J35" s="687"/>
      <c r="K35" s="668"/>
      <c r="L35" s="666"/>
      <c r="M35" s="664"/>
      <c r="N35" s="652"/>
      <c r="AE35" s="174"/>
      <c r="AF35" s="302"/>
      <c r="AG35" s="292"/>
      <c r="AH35" s="292"/>
      <c r="AI35" s="292"/>
      <c r="AJ35" s="292"/>
      <c r="AK35" s="292"/>
      <c r="AL35" s="299"/>
      <c r="AM35" s="292"/>
      <c r="AN35" s="295"/>
      <c r="AO35" s="300"/>
      <c r="AP35" s="295"/>
      <c r="AQ35" s="298"/>
      <c r="AR35" s="295"/>
      <c r="AS35" s="174"/>
      <c r="AT35" s="174"/>
    </row>
    <row r="36" spans="1:46" ht="6.5" customHeight="1">
      <c r="A36" s="263"/>
      <c r="B36" s="648"/>
      <c r="C36" s="649"/>
      <c r="D36" s="649"/>
      <c r="E36" s="649"/>
      <c r="F36" s="649"/>
      <c r="G36" s="649"/>
      <c r="H36" s="650"/>
      <c r="I36" s="847"/>
      <c r="J36" s="688"/>
      <c r="K36" s="689"/>
      <c r="L36" s="681"/>
      <c r="M36" s="682"/>
      <c r="N36" s="690"/>
      <c r="AE36" s="174"/>
      <c r="AF36" s="292"/>
      <c r="AG36" s="292"/>
      <c r="AH36" s="292"/>
      <c r="AI36" s="292"/>
      <c r="AJ36" s="292"/>
      <c r="AK36" s="292"/>
      <c r="AL36" s="292"/>
      <c r="AM36" s="292"/>
      <c r="AN36" s="295"/>
      <c r="AO36" s="292"/>
      <c r="AP36" s="295"/>
      <c r="AQ36" s="292"/>
      <c r="AR36" s="295"/>
      <c r="AS36" s="174"/>
      <c r="AT36" s="174"/>
    </row>
    <row r="37" spans="1:46" ht="6.5" customHeight="1">
      <c r="A37" s="263"/>
      <c r="B37" s="677" t="s">
        <v>2705</v>
      </c>
      <c r="C37" s="643"/>
      <c r="D37" s="643"/>
      <c r="E37" s="643"/>
      <c r="F37" s="643"/>
      <c r="G37" s="643"/>
      <c r="H37" s="644"/>
      <c r="I37" s="846">
        <v>1</v>
      </c>
      <c r="J37" s="686" t="s">
        <v>12</v>
      </c>
      <c r="K37" s="667">
        <v>100</v>
      </c>
      <c r="L37" s="665" t="str">
        <f>IF('из города'!$AG$9=3,"Дол.",IF('из города'!$AG$9=1,"Руб.","Грн."))</f>
        <v>Грн.</v>
      </c>
      <c r="M37" s="663">
        <f>I37*K37</f>
        <v>100</v>
      </c>
      <c r="N37" s="651" t="str">
        <f>IF('из города'!$AG$9=3,"Дол.",IF('из города'!$AG$9=1,"Руб.","Грн."))</f>
        <v>Грн.</v>
      </c>
      <c r="AE37" s="174"/>
      <c r="AF37" s="292"/>
      <c r="AG37" s="292"/>
      <c r="AH37" s="292"/>
      <c r="AI37" s="292"/>
      <c r="AJ37" s="292"/>
      <c r="AK37" s="292"/>
      <c r="AL37" s="292"/>
      <c r="AM37" s="292"/>
      <c r="AN37" s="295"/>
      <c r="AO37" s="292"/>
      <c r="AP37" s="295"/>
      <c r="AQ37" s="292"/>
      <c r="AR37" s="295"/>
      <c r="AS37" s="174"/>
      <c r="AT37" s="174"/>
    </row>
    <row r="38" spans="1:46" ht="6.5" customHeight="1">
      <c r="A38" s="263"/>
      <c r="B38" s="645"/>
      <c r="C38" s="646"/>
      <c r="D38" s="646"/>
      <c r="E38" s="646"/>
      <c r="F38" s="646"/>
      <c r="G38" s="646"/>
      <c r="H38" s="647"/>
      <c r="I38" s="846"/>
      <c r="J38" s="687"/>
      <c r="K38" s="668"/>
      <c r="L38" s="666"/>
      <c r="M38" s="664"/>
      <c r="N38" s="652"/>
      <c r="AE38" s="174"/>
      <c r="AF38" s="302"/>
      <c r="AG38" s="292"/>
      <c r="AH38" s="292"/>
      <c r="AI38" s="292"/>
      <c r="AJ38" s="292"/>
      <c r="AK38" s="292"/>
      <c r="AL38" s="299"/>
      <c r="AM38" s="292"/>
      <c r="AN38" s="295"/>
      <c r="AO38" s="300"/>
      <c r="AP38" s="295"/>
      <c r="AQ38" s="298"/>
      <c r="AR38" s="295"/>
      <c r="AS38" s="174"/>
      <c r="AT38" s="174"/>
    </row>
    <row r="39" spans="1:46" ht="6.5" customHeight="1">
      <c r="A39" s="263"/>
      <c r="B39" s="648"/>
      <c r="C39" s="649"/>
      <c r="D39" s="649"/>
      <c r="E39" s="649"/>
      <c r="F39" s="649"/>
      <c r="G39" s="649"/>
      <c r="H39" s="650"/>
      <c r="I39" s="847"/>
      <c r="J39" s="688"/>
      <c r="K39" s="689"/>
      <c r="L39" s="681"/>
      <c r="M39" s="682"/>
      <c r="N39" s="690"/>
      <c r="AE39" s="174"/>
      <c r="AF39" s="292"/>
      <c r="AG39" s="292"/>
      <c r="AH39" s="292"/>
      <c r="AI39" s="292"/>
      <c r="AJ39" s="292"/>
      <c r="AK39" s="292"/>
      <c r="AL39" s="292"/>
      <c r="AM39" s="292"/>
      <c r="AN39" s="295"/>
      <c r="AO39" s="292"/>
      <c r="AP39" s="295"/>
      <c r="AQ39" s="292"/>
      <c r="AR39" s="295"/>
      <c r="AS39" s="174"/>
      <c r="AT39" s="174"/>
    </row>
    <row r="40" spans="1:46" ht="6.5" customHeight="1">
      <c r="A40" s="263"/>
      <c r="B40" s="677"/>
      <c r="C40" s="643"/>
      <c r="D40" s="643"/>
      <c r="E40" s="643"/>
      <c r="F40" s="643"/>
      <c r="G40" s="643"/>
      <c r="H40" s="644"/>
      <c r="I40" s="846">
        <v>1</v>
      </c>
      <c r="J40" s="686" t="s">
        <v>12</v>
      </c>
      <c r="K40" s="667">
        <v>0</v>
      </c>
      <c r="L40" s="665" t="str">
        <f>IF('из города'!$AG$9=3,"Дол.",IF('из города'!$AG$9=1,"Руб.","Грн."))</f>
        <v>Грн.</v>
      </c>
      <c r="M40" s="663">
        <f>I40*K40</f>
        <v>0</v>
      </c>
      <c r="N40" s="651" t="str">
        <f>IF('из города'!$AG$9=3,"Дол.",IF('из города'!$AG$9=1,"Руб.","Грн."))</f>
        <v>Грн.</v>
      </c>
      <c r="AE40" s="174"/>
      <c r="AF40" s="292"/>
      <c r="AG40" s="292"/>
      <c r="AH40" s="292"/>
      <c r="AI40" s="292"/>
      <c r="AJ40" s="292"/>
      <c r="AK40" s="292"/>
      <c r="AL40" s="292"/>
      <c r="AM40" s="292"/>
      <c r="AN40" s="295"/>
      <c r="AO40" s="292"/>
      <c r="AP40" s="295"/>
      <c r="AQ40" s="292"/>
      <c r="AR40" s="295"/>
      <c r="AS40" s="174"/>
      <c r="AT40" s="174"/>
    </row>
    <row r="41" spans="1:46" ht="6.5" customHeight="1">
      <c r="A41" s="263"/>
      <c r="B41" s="645"/>
      <c r="C41" s="646"/>
      <c r="D41" s="646"/>
      <c r="E41" s="646"/>
      <c r="F41" s="646"/>
      <c r="G41" s="646"/>
      <c r="H41" s="647"/>
      <c r="I41" s="846"/>
      <c r="J41" s="687"/>
      <c r="K41" s="668"/>
      <c r="L41" s="666"/>
      <c r="M41" s="664"/>
      <c r="N41" s="652"/>
      <c r="AE41" s="174"/>
      <c r="AF41" s="303"/>
      <c r="AG41" s="292"/>
      <c r="AH41" s="292"/>
      <c r="AI41" s="292"/>
      <c r="AJ41" s="292"/>
      <c r="AK41" s="292"/>
      <c r="AL41" s="304"/>
      <c r="AM41" s="292"/>
      <c r="AN41" s="305"/>
      <c r="AO41" s="300"/>
      <c r="AP41" s="295"/>
      <c r="AQ41" s="306"/>
      <c r="AR41" s="295"/>
      <c r="AS41" s="174"/>
      <c r="AT41" s="174"/>
    </row>
    <row r="42" spans="1:46" ht="6.5" customHeight="1">
      <c r="A42" s="263"/>
      <c r="B42" s="648"/>
      <c r="C42" s="649"/>
      <c r="D42" s="649"/>
      <c r="E42" s="649"/>
      <c r="F42" s="649"/>
      <c r="G42" s="649"/>
      <c r="H42" s="650"/>
      <c r="I42" s="847"/>
      <c r="J42" s="688"/>
      <c r="K42" s="689"/>
      <c r="L42" s="681"/>
      <c r="M42" s="682"/>
      <c r="N42" s="690"/>
      <c r="AE42" s="174"/>
      <c r="AF42" s="292"/>
      <c r="AG42" s="292"/>
      <c r="AH42" s="292"/>
      <c r="AI42" s="292"/>
      <c r="AJ42" s="292"/>
      <c r="AK42" s="292"/>
      <c r="AL42" s="292"/>
      <c r="AM42" s="292"/>
      <c r="AN42" s="305"/>
      <c r="AO42" s="292"/>
      <c r="AP42" s="295"/>
      <c r="AQ42" s="292"/>
      <c r="AR42" s="295"/>
      <c r="AS42" s="174"/>
      <c r="AT42" s="174"/>
    </row>
    <row r="43" spans="1:46" ht="6.5" customHeight="1">
      <c r="A43" s="263"/>
      <c r="B43" s="653" t="s">
        <v>2113</v>
      </c>
      <c r="C43" s="654"/>
      <c r="D43" s="654"/>
      <c r="E43" s="654"/>
      <c r="F43" s="654"/>
      <c r="G43" s="654"/>
      <c r="H43" s="655"/>
      <c r="I43" s="659">
        <v>0</v>
      </c>
      <c r="J43" s="661" t="s">
        <v>2659</v>
      </c>
      <c r="K43" s="667">
        <v>0</v>
      </c>
      <c r="L43" s="665" t="str">
        <f>IF('из города'!$AG$9=3,"Дол.",IF('из города'!$AG$9=1,"Руб.","Грн."))</f>
        <v>Грн.</v>
      </c>
      <c r="M43" s="694">
        <f>I43*K43</f>
        <v>0</v>
      </c>
      <c r="N43" s="651" t="str">
        <f>IF('из города'!$AG$9=3,"Дол.",IF('из города'!$AG$9=1,"Руб.","Грн."))</f>
        <v>Грн.</v>
      </c>
      <c r="AE43" s="174"/>
      <c r="AF43" s="290"/>
      <c r="AG43" s="290"/>
      <c r="AH43" s="290"/>
      <c r="AI43" s="290"/>
      <c r="AJ43" s="290"/>
      <c r="AK43" s="290"/>
      <c r="AL43" s="307"/>
      <c r="AM43" s="307"/>
      <c r="AN43" s="307"/>
      <c r="AO43" s="174"/>
      <c r="AP43" s="174"/>
      <c r="AQ43" s="174"/>
      <c r="AR43" s="290"/>
      <c r="AS43" s="174"/>
      <c r="AT43" s="174"/>
    </row>
    <row r="44" spans="1:46" ht="6.5" customHeight="1">
      <c r="A44" s="263"/>
      <c r="B44" s="656"/>
      <c r="C44" s="657"/>
      <c r="D44" s="657"/>
      <c r="E44" s="657"/>
      <c r="F44" s="657"/>
      <c r="G44" s="657"/>
      <c r="H44" s="658"/>
      <c r="I44" s="746"/>
      <c r="J44" s="662"/>
      <c r="K44" s="668"/>
      <c r="L44" s="666"/>
      <c r="M44" s="695"/>
      <c r="N44" s="652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</row>
    <row r="45" spans="1:46" ht="6.5" customHeight="1">
      <c r="A45" s="263"/>
      <c r="B45" s="700"/>
      <c r="C45" s="701"/>
      <c r="D45" s="701"/>
      <c r="E45" s="701"/>
      <c r="F45" s="701"/>
      <c r="G45" s="701"/>
      <c r="H45" s="702"/>
      <c r="I45" s="660"/>
      <c r="J45" s="703"/>
      <c r="K45" s="689"/>
      <c r="L45" s="681"/>
      <c r="M45" s="696"/>
      <c r="N45" s="690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</row>
    <row r="46" spans="1:46" ht="6.5" customHeight="1">
      <c r="A46" s="263"/>
      <c r="B46" s="653" t="s">
        <v>2113</v>
      </c>
      <c r="C46" s="654"/>
      <c r="D46" s="654"/>
      <c r="E46" s="654"/>
      <c r="F46" s="654"/>
      <c r="G46" s="654"/>
      <c r="H46" s="655"/>
      <c r="I46" s="659">
        <v>0</v>
      </c>
      <c r="J46" s="661" t="s">
        <v>2659</v>
      </c>
      <c r="K46" s="667">
        <v>0</v>
      </c>
      <c r="L46" s="665" t="str">
        <f>IF('из города'!$AG$9=3,"Дол.",IF('из города'!$AG$9=1,"Руб.","Грн."))</f>
        <v>Грн.</v>
      </c>
      <c r="M46" s="694">
        <f>I46*K46</f>
        <v>0</v>
      </c>
      <c r="N46" s="651" t="str">
        <f>IF('из города'!$AG$9=3,"Дол.",IF('из города'!$AG$9=1,"Руб.","Грн."))</f>
        <v>Грн.</v>
      </c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</row>
    <row r="47" spans="1:46" ht="6.5" customHeight="1">
      <c r="A47" s="263"/>
      <c r="B47" s="656"/>
      <c r="C47" s="657"/>
      <c r="D47" s="657"/>
      <c r="E47" s="657"/>
      <c r="F47" s="657"/>
      <c r="G47" s="657"/>
      <c r="H47" s="658"/>
      <c r="I47" s="746"/>
      <c r="J47" s="662"/>
      <c r="K47" s="668"/>
      <c r="L47" s="666"/>
      <c r="M47" s="695"/>
      <c r="N47" s="652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</row>
    <row r="48" spans="1:46" ht="6.5" customHeight="1">
      <c r="A48" s="263"/>
      <c r="B48" s="700"/>
      <c r="C48" s="701"/>
      <c r="D48" s="701"/>
      <c r="E48" s="701"/>
      <c r="F48" s="701"/>
      <c r="G48" s="701"/>
      <c r="H48" s="702"/>
      <c r="I48" s="660"/>
      <c r="J48" s="703"/>
      <c r="K48" s="689"/>
      <c r="L48" s="681"/>
      <c r="M48" s="696"/>
      <c r="N48" s="690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</row>
    <row r="49" spans="1:14" ht="6.5" customHeight="1">
      <c r="A49" s="263"/>
      <c r="B49" s="653" t="s">
        <v>2113</v>
      </c>
      <c r="C49" s="654"/>
      <c r="D49" s="654"/>
      <c r="E49" s="654"/>
      <c r="F49" s="654"/>
      <c r="G49" s="654"/>
      <c r="H49" s="655"/>
      <c r="I49" s="659">
        <v>0</v>
      </c>
      <c r="J49" s="661" t="s">
        <v>2659</v>
      </c>
      <c r="K49" s="667">
        <v>0</v>
      </c>
      <c r="L49" s="665" t="str">
        <f>IF('из города'!$AG$9=3,"Дол.",IF('из города'!$AG$9=1,"Руб.","Грн."))</f>
        <v>Грн.</v>
      </c>
      <c r="M49" s="694">
        <f>I49*K49</f>
        <v>0</v>
      </c>
      <c r="N49" s="651" t="str">
        <f>IF('из города'!$AG$9=3,"Дол.",IF('из города'!$AG$9=1,"Руб.","Грн."))</f>
        <v>Грн.</v>
      </c>
    </row>
    <row r="50" spans="1:14" ht="6.5" customHeight="1">
      <c r="A50" s="263"/>
      <c r="B50" s="656"/>
      <c r="C50" s="657"/>
      <c r="D50" s="657"/>
      <c r="E50" s="657"/>
      <c r="F50" s="657"/>
      <c r="G50" s="657"/>
      <c r="H50" s="658"/>
      <c r="I50" s="746"/>
      <c r="J50" s="662"/>
      <c r="K50" s="668"/>
      <c r="L50" s="666"/>
      <c r="M50" s="695"/>
      <c r="N50" s="652"/>
    </row>
    <row r="51" spans="1:14" ht="6.5" customHeight="1">
      <c r="A51" s="263"/>
      <c r="B51" s="700"/>
      <c r="C51" s="701"/>
      <c r="D51" s="701"/>
      <c r="E51" s="701"/>
      <c r="F51" s="701"/>
      <c r="G51" s="701"/>
      <c r="H51" s="702"/>
      <c r="I51" s="660"/>
      <c r="J51" s="703"/>
      <c r="K51" s="689"/>
      <c r="L51" s="681"/>
      <c r="M51" s="696"/>
      <c r="N51" s="690"/>
    </row>
    <row r="52" spans="1:14" ht="6.5" customHeight="1">
      <c r="A52" s="263"/>
      <c r="B52" s="653" t="s">
        <v>2113</v>
      </c>
      <c r="C52" s="654"/>
      <c r="D52" s="654"/>
      <c r="E52" s="654"/>
      <c r="F52" s="654"/>
      <c r="G52" s="654"/>
      <c r="H52" s="655"/>
      <c r="I52" s="659">
        <v>0</v>
      </c>
      <c r="J52" s="661" t="s">
        <v>2659</v>
      </c>
      <c r="K52" s="667">
        <v>0</v>
      </c>
      <c r="L52" s="665" t="str">
        <f>IF('из города'!$AG$9=3,"Дол.",IF('из города'!$AG$9=1,"Руб.","Грн."))</f>
        <v>Грн.</v>
      </c>
      <c r="M52" s="694">
        <f>I52*K52</f>
        <v>0</v>
      </c>
      <c r="N52" s="651" t="str">
        <f>IF('из города'!$AG$9=3,"Дол.",IF('из города'!$AG$9=1,"Руб.","Грн."))</f>
        <v>Грн.</v>
      </c>
    </row>
    <row r="53" spans="1:14" ht="6.5" customHeight="1">
      <c r="A53" s="263"/>
      <c r="B53" s="656"/>
      <c r="C53" s="657"/>
      <c r="D53" s="657"/>
      <c r="E53" s="657"/>
      <c r="F53" s="657"/>
      <c r="G53" s="657"/>
      <c r="H53" s="658"/>
      <c r="I53" s="746"/>
      <c r="J53" s="662"/>
      <c r="K53" s="668"/>
      <c r="L53" s="666"/>
      <c r="M53" s="695"/>
      <c r="N53" s="652"/>
    </row>
    <row r="54" spans="1:14" ht="6.5" customHeight="1">
      <c r="A54" s="263"/>
      <c r="B54" s="700"/>
      <c r="C54" s="701"/>
      <c r="D54" s="701"/>
      <c r="E54" s="701"/>
      <c r="F54" s="701"/>
      <c r="G54" s="701"/>
      <c r="H54" s="702"/>
      <c r="I54" s="660"/>
      <c r="J54" s="703"/>
      <c r="K54" s="689"/>
      <c r="L54" s="681"/>
      <c r="M54" s="696"/>
      <c r="N54" s="690"/>
    </row>
    <row r="55" spans="1:14" ht="6.5" customHeight="1">
      <c r="A55" s="265"/>
      <c r="B55" s="654" t="s">
        <v>2113</v>
      </c>
      <c r="C55" s="654"/>
      <c r="D55" s="654"/>
      <c r="E55" s="654"/>
      <c r="F55" s="654"/>
      <c r="G55" s="654"/>
      <c r="H55" s="655"/>
      <c r="I55" s="659">
        <v>0</v>
      </c>
      <c r="J55" s="661" t="s">
        <v>2659</v>
      </c>
      <c r="K55" s="667">
        <v>0</v>
      </c>
      <c r="L55" s="665" t="str">
        <f>IF('из города'!$AG$9=3,"Дол.",IF('из города'!$AG$9=1,"Руб.","Грн."))</f>
        <v>Грн.</v>
      </c>
      <c r="M55" s="694">
        <f>I55*K55</f>
        <v>0</v>
      </c>
      <c r="N55" s="651" t="str">
        <f>IF('из города'!$AG$9=3,"Дол.",IF('из города'!$AG$9=1,"Руб.","Грн."))</f>
        <v>Грн.</v>
      </c>
    </row>
    <row r="56" spans="1:14" ht="6.5" customHeight="1">
      <c r="A56" s="265"/>
      <c r="B56" s="657"/>
      <c r="C56" s="657"/>
      <c r="D56" s="657"/>
      <c r="E56" s="657"/>
      <c r="F56" s="657"/>
      <c r="G56" s="657"/>
      <c r="H56" s="658"/>
      <c r="I56" s="746"/>
      <c r="J56" s="662"/>
      <c r="K56" s="668"/>
      <c r="L56" s="666"/>
      <c r="M56" s="695"/>
      <c r="N56" s="652"/>
    </row>
    <row r="57" spans="1:14" ht="6.5" customHeight="1">
      <c r="A57" s="265"/>
      <c r="B57" s="701"/>
      <c r="C57" s="701"/>
      <c r="D57" s="701"/>
      <c r="E57" s="701"/>
      <c r="F57" s="701"/>
      <c r="G57" s="701"/>
      <c r="H57" s="702"/>
      <c r="I57" s="660"/>
      <c r="J57" s="703"/>
      <c r="K57" s="689"/>
      <c r="L57" s="681"/>
      <c r="M57" s="696"/>
      <c r="N57" s="690"/>
    </row>
    <row r="58" spans="1:14" ht="6.5" customHeight="1">
      <c r="A58" s="263"/>
      <c r="B58" s="656" t="s">
        <v>2113</v>
      </c>
      <c r="C58" s="657"/>
      <c r="D58" s="657"/>
      <c r="E58" s="657"/>
      <c r="F58" s="657"/>
      <c r="G58" s="657"/>
      <c r="H58" s="658"/>
      <c r="I58" s="746">
        <v>0</v>
      </c>
      <c r="J58" s="661" t="s">
        <v>2659</v>
      </c>
      <c r="K58" s="668">
        <v>0</v>
      </c>
      <c r="L58" s="666" t="str">
        <f>IF('из города'!$AG$9=3,"Дол.",IF('из города'!$AG$9=1,"Руб.","Грн."))</f>
        <v>Грн.</v>
      </c>
      <c r="M58" s="695">
        <f>I58*K58</f>
        <v>0</v>
      </c>
      <c r="N58" s="652" t="str">
        <f>IF('из города'!$AG$9=3,"Дол.",IF('из города'!$AG$9=1,"Руб.","Грн."))</f>
        <v>Грн.</v>
      </c>
    </row>
    <row r="59" spans="1:14" ht="6.5" customHeight="1">
      <c r="A59" s="263"/>
      <c r="B59" s="656"/>
      <c r="C59" s="657"/>
      <c r="D59" s="657"/>
      <c r="E59" s="657"/>
      <c r="F59" s="657"/>
      <c r="G59" s="657"/>
      <c r="H59" s="658"/>
      <c r="I59" s="746"/>
      <c r="J59" s="662"/>
      <c r="K59" s="668"/>
      <c r="L59" s="666"/>
      <c r="M59" s="695"/>
      <c r="N59" s="652"/>
    </row>
    <row r="60" spans="1:14" ht="6.5" customHeight="1">
      <c r="A60" s="263"/>
      <c r="B60" s="656"/>
      <c r="C60" s="657"/>
      <c r="D60" s="657"/>
      <c r="E60" s="657"/>
      <c r="F60" s="657"/>
      <c r="G60" s="657"/>
      <c r="H60" s="658"/>
      <c r="I60" s="660"/>
      <c r="J60" s="703"/>
      <c r="K60" s="689"/>
      <c r="L60" s="681"/>
      <c r="M60" s="696"/>
      <c r="N60" s="652"/>
    </row>
    <row r="61" spans="1:14" ht="9.5" customHeight="1">
      <c r="A61" s="263"/>
      <c r="B61" s="677" t="s">
        <v>2646</v>
      </c>
      <c r="C61" s="643"/>
      <c r="D61" s="643"/>
      <c r="E61" s="643"/>
      <c r="F61" s="643"/>
      <c r="G61" s="643"/>
      <c r="H61" s="644"/>
      <c r="I61" s="659">
        <v>2</v>
      </c>
      <c r="J61" s="661" t="s">
        <v>2639</v>
      </c>
      <c r="K61" s="667">
        <v>50</v>
      </c>
      <c r="L61" s="665" t="str">
        <f>IF('из города'!$AG$9=3,"Дол.",IF('из города'!$AG$9=1,"Руб.","Грн."))</f>
        <v>Грн.</v>
      </c>
      <c r="M61" s="663">
        <f>I61*K61</f>
        <v>100</v>
      </c>
      <c r="N61" s="651" t="str">
        <f>IF('из города'!$AG$9=3,"Дол.",IF('из города'!$AG$9=1,"Руб.","Грн."))</f>
        <v>Грн.</v>
      </c>
    </row>
    <row r="62" spans="1:14" ht="9.5" customHeight="1">
      <c r="A62" s="263"/>
      <c r="B62" s="645"/>
      <c r="C62" s="646"/>
      <c r="D62" s="646"/>
      <c r="E62" s="646"/>
      <c r="F62" s="646"/>
      <c r="G62" s="646"/>
      <c r="H62" s="647"/>
      <c r="I62" s="660"/>
      <c r="J62" s="662"/>
      <c r="K62" s="668"/>
      <c r="L62" s="666"/>
      <c r="M62" s="664"/>
      <c r="N62" s="652"/>
    </row>
    <row r="63" spans="1:14" ht="9.5" customHeight="1">
      <c r="A63" s="263"/>
      <c r="B63" s="677" t="s">
        <v>2664</v>
      </c>
      <c r="C63" s="643"/>
      <c r="D63" s="643"/>
      <c r="E63" s="643"/>
      <c r="F63" s="643"/>
      <c r="G63" s="643"/>
      <c r="H63" s="644"/>
      <c r="I63" s="659">
        <v>10</v>
      </c>
      <c r="J63" s="661" t="s">
        <v>2641</v>
      </c>
      <c r="K63" s="667">
        <v>2</v>
      </c>
      <c r="L63" s="665" t="str">
        <f>IF('из города'!$AG$9=3,"Дол.",IF('из города'!$AG$9=1,"Руб.","Грн."))</f>
        <v>Грн.</v>
      </c>
      <c r="M63" s="663">
        <f>I63*K63</f>
        <v>20</v>
      </c>
      <c r="N63" s="651" t="str">
        <f>IF('из города'!$AG$9=3,"Дол.",IF('из города'!$AG$9=1,"Руб.","Грн."))</f>
        <v>Грн.</v>
      </c>
    </row>
    <row r="64" spans="1:14" ht="9.5" customHeight="1">
      <c r="A64" s="263"/>
      <c r="B64" s="645"/>
      <c r="C64" s="646"/>
      <c r="D64" s="646"/>
      <c r="E64" s="646"/>
      <c r="F64" s="646"/>
      <c r="G64" s="646"/>
      <c r="H64" s="647"/>
      <c r="I64" s="660"/>
      <c r="J64" s="662"/>
      <c r="K64" s="668"/>
      <c r="L64" s="666"/>
      <c r="M64" s="664"/>
      <c r="N64" s="652"/>
    </row>
    <row r="65" spans="1:14" ht="9.5" customHeight="1">
      <c r="A65" s="263"/>
      <c r="B65" s="677" t="s">
        <v>2653</v>
      </c>
      <c r="C65" s="643"/>
      <c r="D65" s="643"/>
      <c r="E65" s="643"/>
      <c r="F65" s="643"/>
      <c r="G65" s="643"/>
      <c r="H65" s="644"/>
      <c r="I65" s="659">
        <v>1</v>
      </c>
      <c r="J65" s="661" t="s">
        <v>2639</v>
      </c>
      <c r="K65" s="667">
        <v>20</v>
      </c>
      <c r="L65" s="665" t="str">
        <f>IF('из города'!$AG$9=3,"Дол.",IF('из города'!$AG$9=1,"Руб.","Грн."))</f>
        <v>Грн.</v>
      </c>
      <c r="M65" s="663">
        <f>I65*K65</f>
        <v>20</v>
      </c>
      <c r="N65" s="651" t="str">
        <f>IF('из города'!$AG$9=3,"Дол.",IF('из города'!$AG$9=1,"Руб.","Грн."))</f>
        <v>Грн.</v>
      </c>
    </row>
    <row r="66" spans="1:14" ht="9.5" customHeight="1">
      <c r="A66" s="263"/>
      <c r="B66" s="645"/>
      <c r="C66" s="646"/>
      <c r="D66" s="646"/>
      <c r="E66" s="646"/>
      <c r="F66" s="646"/>
      <c r="G66" s="646"/>
      <c r="H66" s="647"/>
      <c r="I66" s="660"/>
      <c r="J66" s="662"/>
      <c r="K66" s="668"/>
      <c r="L66" s="666"/>
      <c r="M66" s="664"/>
      <c r="N66" s="652"/>
    </row>
    <row r="67" spans="1:14" ht="9.5" customHeight="1">
      <c r="A67" s="263"/>
      <c r="B67" s="677" t="s">
        <v>2652</v>
      </c>
      <c r="C67" s="643"/>
      <c r="D67" s="643"/>
      <c r="E67" s="643"/>
      <c r="F67" s="643"/>
      <c r="G67" s="643"/>
      <c r="H67" s="644"/>
      <c r="I67" s="659">
        <v>2</v>
      </c>
      <c r="J67" s="661" t="s">
        <v>2641</v>
      </c>
      <c r="K67" s="667">
        <v>2</v>
      </c>
      <c r="L67" s="665" t="str">
        <f>IF('из города'!$AG$9=3,"Дол.",IF('из города'!$AG$9=1,"Руб.","Грн."))</f>
        <v>Грн.</v>
      </c>
      <c r="M67" s="663">
        <f>I67*K67</f>
        <v>4</v>
      </c>
      <c r="N67" s="651" t="str">
        <f>IF('из города'!$AG$9=3,"Дол.",IF('из города'!$AG$9=1,"Руб.","Грн."))</f>
        <v>Грн.</v>
      </c>
    </row>
    <row r="68" spans="1:14" ht="9.5" customHeight="1">
      <c r="A68" s="263"/>
      <c r="B68" s="645"/>
      <c r="C68" s="646"/>
      <c r="D68" s="646"/>
      <c r="E68" s="646"/>
      <c r="F68" s="646"/>
      <c r="G68" s="646"/>
      <c r="H68" s="647"/>
      <c r="I68" s="660"/>
      <c r="J68" s="662"/>
      <c r="K68" s="668"/>
      <c r="L68" s="666"/>
      <c r="M68" s="664"/>
      <c r="N68" s="652"/>
    </row>
    <row r="69" spans="1:14" ht="9.5" customHeight="1">
      <c r="A69" s="263"/>
      <c r="B69" s="677" t="s">
        <v>2665</v>
      </c>
      <c r="C69" s="643"/>
      <c r="D69" s="643"/>
      <c r="E69" s="643"/>
      <c r="F69" s="643"/>
      <c r="G69" s="643"/>
      <c r="H69" s="644"/>
      <c r="I69" s="659">
        <v>0</v>
      </c>
      <c r="J69" s="661" t="s">
        <v>2639</v>
      </c>
      <c r="K69" s="667">
        <v>70</v>
      </c>
      <c r="L69" s="665" t="str">
        <f>IF('из города'!$AG$9=3,"Дол.",IF('из города'!$AG$9=1,"Руб.","Грн."))</f>
        <v>Грн.</v>
      </c>
      <c r="M69" s="663">
        <f>I69*K69</f>
        <v>0</v>
      </c>
      <c r="N69" s="651" t="str">
        <f>IF('из города'!$AG$9=3,"Дол.",IF('из города'!$AG$9=1,"Руб.","Грн."))</f>
        <v>Грн.</v>
      </c>
    </row>
    <row r="70" spans="1:14" ht="9.5" customHeight="1">
      <c r="A70" s="263"/>
      <c r="B70" s="645"/>
      <c r="C70" s="646"/>
      <c r="D70" s="646"/>
      <c r="E70" s="646"/>
      <c r="F70" s="646"/>
      <c r="G70" s="646"/>
      <c r="H70" s="647"/>
      <c r="I70" s="660"/>
      <c r="J70" s="662"/>
      <c r="K70" s="668"/>
      <c r="L70" s="666"/>
      <c r="M70" s="664"/>
      <c r="N70" s="652"/>
    </row>
    <row r="71" spans="1:14" ht="9.5" customHeight="1">
      <c r="A71" s="263"/>
      <c r="B71" s="669" t="s">
        <v>2660</v>
      </c>
      <c r="C71" s="670"/>
      <c r="D71" s="670"/>
      <c r="E71" s="670"/>
      <c r="F71" s="670"/>
      <c r="G71" s="670"/>
      <c r="H71" s="671"/>
      <c r="I71" s="659">
        <v>6</v>
      </c>
      <c r="J71" s="661" t="s">
        <v>2661</v>
      </c>
      <c r="K71" s="667">
        <v>15</v>
      </c>
      <c r="L71" s="675" t="str">
        <f>IF('из города'!$AG$9=3,"Дол.",IF('из города'!$AG$9=1,"Руб.","Грн."))</f>
        <v>Грн.</v>
      </c>
      <c r="M71" s="663">
        <f>I71*K71</f>
        <v>90</v>
      </c>
      <c r="N71" s="651" t="str">
        <f>IF('из города'!$AG$9=3,"Дол.",IF('из города'!$AG$9=1,"Руб.","Грн."))</f>
        <v>Грн.</v>
      </c>
    </row>
    <row r="72" spans="1:14" ht="9.5" customHeight="1">
      <c r="A72" s="263"/>
      <c r="B72" s="672"/>
      <c r="C72" s="673"/>
      <c r="D72" s="673"/>
      <c r="E72" s="673"/>
      <c r="F72" s="673"/>
      <c r="G72" s="673"/>
      <c r="H72" s="674"/>
      <c r="I72" s="660"/>
      <c r="J72" s="662"/>
      <c r="K72" s="668"/>
      <c r="L72" s="676"/>
      <c r="M72" s="664"/>
      <c r="N72" s="652"/>
    </row>
    <row r="73" spans="1:14" ht="9.5" customHeight="1">
      <c r="A73" s="263"/>
      <c r="B73" s="653" t="s">
        <v>2658</v>
      </c>
      <c r="C73" s="654"/>
      <c r="D73" s="654"/>
      <c r="E73" s="654"/>
      <c r="F73" s="654"/>
      <c r="G73" s="654"/>
      <c r="H73" s="655"/>
      <c r="I73" s="659">
        <v>1</v>
      </c>
      <c r="J73" s="661" t="s">
        <v>2647</v>
      </c>
      <c r="K73" s="667">
        <v>0</v>
      </c>
      <c r="L73" s="665" t="str">
        <f>IF('из города'!$AG$9=3,"Дол.",IF('из города'!$AG$9=1,"Руб.","Грн."))</f>
        <v>Грн.</v>
      </c>
      <c r="M73" s="663">
        <f>I73*K73</f>
        <v>0</v>
      </c>
      <c r="N73" s="651" t="str">
        <f>IF('из города'!$AG$9=3,"Дол.",IF('из города'!$AG$9=1,"Руб.","Грн."))</f>
        <v>Грн.</v>
      </c>
    </row>
    <row r="74" spans="1:14" ht="9.5" customHeight="1">
      <c r="A74" s="263"/>
      <c r="B74" s="656"/>
      <c r="C74" s="657"/>
      <c r="D74" s="657"/>
      <c r="E74" s="657"/>
      <c r="F74" s="657"/>
      <c r="G74" s="657"/>
      <c r="H74" s="658"/>
      <c r="I74" s="660"/>
      <c r="J74" s="662"/>
      <c r="K74" s="668"/>
      <c r="L74" s="666"/>
      <c r="M74" s="664"/>
      <c r="N74" s="652"/>
    </row>
    <row r="75" spans="1:14" ht="9.5" customHeight="1">
      <c r="A75" s="263"/>
      <c r="B75" s="653" t="s">
        <v>2658</v>
      </c>
      <c r="C75" s="654"/>
      <c r="D75" s="654"/>
      <c r="E75" s="654"/>
      <c r="F75" s="654"/>
      <c r="G75" s="654"/>
      <c r="H75" s="655"/>
      <c r="I75" s="659">
        <v>1</v>
      </c>
      <c r="J75" s="661" t="s">
        <v>2647</v>
      </c>
      <c r="K75" s="667">
        <v>0</v>
      </c>
      <c r="L75" s="665" t="str">
        <f>IF('из города'!$AG$9=3,"Дол.",IF('из города'!$AG$9=1,"Руб.","Грн."))</f>
        <v>Грн.</v>
      </c>
      <c r="M75" s="663">
        <f>I75*K75</f>
        <v>0</v>
      </c>
      <c r="N75" s="651" t="str">
        <f>IF('из города'!$AG$9=3,"Дол.",IF('из города'!$AG$9=1,"Руб.","Грн."))</f>
        <v>Грн.</v>
      </c>
    </row>
    <row r="76" spans="1:14" ht="9.5" customHeight="1">
      <c r="A76" s="263"/>
      <c r="B76" s="656"/>
      <c r="C76" s="657"/>
      <c r="D76" s="657"/>
      <c r="E76" s="657"/>
      <c r="F76" s="657"/>
      <c r="G76" s="657"/>
      <c r="H76" s="658"/>
      <c r="I76" s="660"/>
      <c r="J76" s="662"/>
      <c r="K76" s="668"/>
      <c r="L76" s="666"/>
      <c r="M76" s="664"/>
      <c r="N76" s="652"/>
    </row>
    <row r="77" spans="1:14" ht="9.5" customHeight="1">
      <c r="A77" s="263"/>
      <c r="B77" s="653" t="s">
        <v>2658</v>
      </c>
      <c r="C77" s="654"/>
      <c r="D77" s="654"/>
      <c r="E77" s="654"/>
      <c r="F77" s="654"/>
      <c r="G77" s="654"/>
      <c r="H77" s="655"/>
      <c r="I77" s="659">
        <v>1</v>
      </c>
      <c r="J77" s="661" t="s">
        <v>2647</v>
      </c>
      <c r="K77" s="667">
        <v>0</v>
      </c>
      <c r="L77" s="665" t="str">
        <f>IF('из города'!$AG$9=3,"Дол.",IF('из города'!$AG$9=1,"Руб.","Грн."))</f>
        <v>Грн.</v>
      </c>
      <c r="M77" s="663">
        <f>I77*K77</f>
        <v>0</v>
      </c>
      <c r="N77" s="651" t="str">
        <f>IF('из города'!$AG$9=3,"Дол.",IF('из города'!$AG$9=1,"Руб.","Грн."))</f>
        <v>Грн.</v>
      </c>
    </row>
    <row r="78" spans="1:14" ht="9.5" customHeight="1">
      <c r="A78" s="263"/>
      <c r="B78" s="656"/>
      <c r="C78" s="657"/>
      <c r="D78" s="657"/>
      <c r="E78" s="657"/>
      <c r="F78" s="657"/>
      <c r="G78" s="657"/>
      <c r="H78" s="658"/>
      <c r="I78" s="660"/>
      <c r="J78" s="662"/>
      <c r="K78" s="668"/>
      <c r="L78" s="666"/>
      <c r="M78" s="664"/>
      <c r="N78" s="652"/>
    </row>
    <row r="79" spans="1:14" ht="9.5" customHeight="1">
      <c r="A79" s="263"/>
      <c r="B79" s="653" t="s">
        <v>2658</v>
      </c>
      <c r="C79" s="654"/>
      <c r="D79" s="654"/>
      <c r="E79" s="654"/>
      <c r="F79" s="654"/>
      <c r="G79" s="654"/>
      <c r="H79" s="655"/>
      <c r="I79" s="659">
        <v>1</v>
      </c>
      <c r="J79" s="661" t="s">
        <v>2647</v>
      </c>
      <c r="K79" s="667">
        <v>0</v>
      </c>
      <c r="L79" s="665" t="str">
        <f>IF('из города'!$AG$9=3,"Дол.",IF('из города'!$AG$9=1,"Руб.","Грн."))</f>
        <v>Грн.</v>
      </c>
      <c r="M79" s="663">
        <f>I79*K79</f>
        <v>0</v>
      </c>
      <c r="N79" s="651" t="str">
        <f>IF('из города'!$AG$9=3,"Дол.",IF('из города'!$AG$9=1,"Руб.","Грн."))</f>
        <v>Грн.</v>
      </c>
    </row>
    <row r="80" spans="1:14" ht="9.5" customHeight="1">
      <c r="A80" s="263"/>
      <c r="B80" s="656"/>
      <c r="C80" s="657"/>
      <c r="D80" s="657"/>
      <c r="E80" s="657"/>
      <c r="F80" s="657"/>
      <c r="G80" s="657"/>
      <c r="H80" s="658"/>
      <c r="I80" s="660"/>
      <c r="J80" s="662"/>
      <c r="K80" s="668"/>
      <c r="L80" s="666"/>
      <c r="M80" s="664"/>
      <c r="N80" s="652"/>
    </row>
    <row r="81" spans="1:16" ht="9.5" customHeight="1">
      <c r="A81" s="263"/>
      <c r="B81" s="653" t="s">
        <v>2658</v>
      </c>
      <c r="C81" s="654"/>
      <c r="D81" s="654"/>
      <c r="E81" s="654"/>
      <c r="F81" s="654"/>
      <c r="G81" s="654"/>
      <c r="H81" s="655"/>
      <c r="I81" s="659">
        <v>1</v>
      </c>
      <c r="J81" s="661" t="s">
        <v>2647</v>
      </c>
      <c r="K81" s="667">
        <v>0</v>
      </c>
      <c r="L81" s="665" t="str">
        <f>IF('из города'!$AG$9=3,"Дол.",IF('из города'!$AG$9=1,"Руб.","Грн."))</f>
        <v>Грн.</v>
      </c>
      <c r="M81" s="663">
        <f>I81*K81</f>
        <v>0</v>
      </c>
      <c r="N81" s="651" t="str">
        <f>IF('из города'!$AG$9=3,"Дол.",IF('из города'!$AG$9=1,"Руб.","Грн."))</f>
        <v>Грн.</v>
      </c>
    </row>
    <row r="82" spans="1:16" ht="9.5" customHeight="1">
      <c r="A82" s="263"/>
      <c r="B82" s="656"/>
      <c r="C82" s="657"/>
      <c r="D82" s="657"/>
      <c r="E82" s="657"/>
      <c r="F82" s="657"/>
      <c r="G82" s="657"/>
      <c r="H82" s="658"/>
      <c r="I82" s="660"/>
      <c r="J82" s="662"/>
      <c r="K82" s="668"/>
      <c r="L82" s="666"/>
      <c r="M82" s="664"/>
      <c r="N82" s="652"/>
      <c r="P82" s="116"/>
    </row>
    <row r="83" spans="1:16" ht="7" customHeight="1">
      <c r="A83" s="285" t="b">
        <v>0</v>
      </c>
      <c r="B83" s="749" t="s">
        <v>15</v>
      </c>
      <c r="C83" s="750"/>
      <c r="D83" s="750"/>
      <c r="E83" s="750"/>
      <c r="F83" s="750"/>
      <c r="G83" s="750"/>
      <c r="H83" s="259"/>
      <c r="I83" s="259"/>
      <c r="J83" s="260"/>
      <c r="K83" s="845">
        <f>M83/P84</f>
        <v>0</v>
      </c>
      <c r="L83" s="759" t="s">
        <v>17</v>
      </c>
      <c r="M83" s="845">
        <f>IF(A83=TRUE,SUM(M7:M81),0)</f>
        <v>0</v>
      </c>
      <c r="N83" s="679" t="str">
        <f>IF('из города'!$AG$9=3,"Дол.",IF('из города'!$AG$9=1,"Руб.","Грн."))</f>
        <v>Грн.</v>
      </c>
      <c r="P83" s="116"/>
    </row>
    <row r="84" spans="1:16" ht="7" customHeight="1">
      <c r="A84" s="263"/>
      <c r="B84" s="751"/>
      <c r="C84" s="752"/>
      <c r="D84" s="752"/>
      <c r="E84" s="752"/>
      <c r="F84" s="752"/>
      <c r="G84" s="752"/>
      <c r="H84" s="259"/>
      <c r="I84" s="259"/>
      <c r="J84" s="704"/>
      <c r="K84" s="747"/>
      <c r="L84" s="704"/>
      <c r="M84" s="747"/>
      <c r="N84" s="679"/>
      <c r="P84" s="822">
        <f>Главная!X13</f>
        <v>26</v>
      </c>
    </row>
    <row r="85" spans="1:16" ht="7" customHeight="1">
      <c r="A85" s="263"/>
      <c r="B85" s="751"/>
      <c r="C85" s="752"/>
      <c r="D85" s="752"/>
      <c r="E85" s="752"/>
      <c r="F85" s="752"/>
      <c r="G85" s="752"/>
      <c r="H85" s="259"/>
      <c r="I85" s="259"/>
      <c r="J85" s="704"/>
      <c r="K85" s="747"/>
      <c r="L85" s="704"/>
      <c r="M85" s="747"/>
      <c r="N85" s="679"/>
      <c r="P85" s="848"/>
    </row>
    <row r="86" spans="1:16" ht="7" customHeight="1" thickBot="1">
      <c r="A86" s="263"/>
      <c r="B86" s="753"/>
      <c r="C86" s="754"/>
      <c r="D86" s="754"/>
      <c r="E86" s="754"/>
      <c r="F86" s="754"/>
      <c r="G86" s="754"/>
      <c r="H86" s="261"/>
      <c r="I86" s="261"/>
      <c r="J86" s="705"/>
      <c r="K86" s="748"/>
      <c r="L86" s="705"/>
      <c r="M86" s="748"/>
      <c r="N86" s="763"/>
      <c r="P86" s="848"/>
    </row>
    <row r="87" spans="1:16" ht="13" customHeight="1" thickTop="1">
      <c r="A87" s="263"/>
      <c r="B87" s="258"/>
      <c r="C87" s="258"/>
      <c r="D87" s="258"/>
      <c r="E87" s="258"/>
      <c r="F87" s="258"/>
      <c r="G87" s="258"/>
      <c r="H87" s="287"/>
      <c r="I87" s="287"/>
      <c r="J87" s="287"/>
      <c r="K87" s="289"/>
      <c r="M87" s="264"/>
      <c r="N87" s="263"/>
    </row>
    <row r="88" spans="1:16" ht="13" customHeight="1" thickBot="1">
      <c r="A88" s="263"/>
      <c r="B88" s="258"/>
      <c r="C88" s="258"/>
      <c r="D88" s="258"/>
      <c r="E88" s="258"/>
      <c r="F88" s="258"/>
      <c r="G88" s="258"/>
      <c r="H88" s="288"/>
      <c r="I88" s="288"/>
      <c r="J88" s="288"/>
      <c r="K88" s="288"/>
      <c r="M88" s="116"/>
      <c r="N88" s="263"/>
    </row>
    <row r="89" spans="1:16" ht="13" customHeight="1" thickTop="1">
      <c r="A89" s="263"/>
      <c r="B89" s="706" t="s">
        <v>2718</v>
      </c>
      <c r="C89" s="697"/>
      <c r="D89" s="697"/>
      <c r="E89" s="697"/>
      <c r="F89" s="697"/>
      <c r="G89" s="697"/>
      <c r="H89" s="697"/>
      <c r="I89" s="697"/>
      <c r="J89" s="697"/>
      <c r="K89" s="697"/>
      <c r="L89" s="697"/>
      <c r="M89" s="697"/>
      <c r="N89" s="697"/>
    </row>
    <row r="90" spans="1:16" ht="13" customHeight="1" thickBot="1">
      <c r="A90" s="263"/>
      <c r="B90" s="849"/>
      <c r="C90" s="698"/>
      <c r="D90" s="698"/>
      <c r="E90" s="698"/>
      <c r="F90" s="698"/>
      <c r="G90" s="698"/>
      <c r="H90" s="698"/>
      <c r="I90" s="698"/>
      <c r="J90" s="698"/>
      <c r="K90" s="698"/>
      <c r="L90" s="698"/>
      <c r="M90" s="698"/>
      <c r="N90" s="698"/>
    </row>
    <row r="91" spans="1:16" ht="12.5" customHeight="1" thickTop="1">
      <c r="B91" s="504" t="s">
        <v>2737</v>
      </c>
      <c r="C91" s="712"/>
      <c r="D91" s="712"/>
      <c r="E91" s="712"/>
      <c r="F91" s="712"/>
      <c r="G91" s="712"/>
      <c r="H91" s="713"/>
      <c r="I91" s="477" t="s">
        <v>2742</v>
      </c>
      <c r="J91" s="479"/>
      <c r="K91" s="477" t="s">
        <v>2</v>
      </c>
      <c r="L91" s="479"/>
      <c r="M91" s="478" t="s">
        <v>2739</v>
      </c>
      <c r="N91" s="479"/>
    </row>
    <row r="92" spans="1:16" ht="12.5" customHeight="1">
      <c r="B92" s="714"/>
      <c r="C92" s="850"/>
      <c r="D92" s="850"/>
      <c r="E92" s="850"/>
      <c r="F92" s="850"/>
      <c r="G92" s="850"/>
      <c r="H92" s="716"/>
      <c r="I92" s="480"/>
      <c r="J92" s="482"/>
      <c r="K92" s="480"/>
      <c r="L92" s="482"/>
      <c r="M92" s="481"/>
      <c r="N92" s="482"/>
    </row>
    <row r="93" spans="1:16" ht="12.5" customHeight="1" thickBot="1">
      <c r="B93" s="717"/>
      <c r="C93" s="710"/>
      <c r="D93" s="710"/>
      <c r="E93" s="710"/>
      <c r="F93" s="710"/>
      <c r="G93" s="710"/>
      <c r="H93" s="711"/>
      <c r="I93" s="483"/>
      <c r="J93" s="485"/>
      <c r="K93" s="483"/>
      <c r="L93" s="485"/>
      <c r="M93" s="484"/>
      <c r="N93" s="485"/>
    </row>
    <row r="94" spans="1:16" ht="10" customHeight="1" thickTop="1">
      <c r="B94" s="730" t="s">
        <v>2743</v>
      </c>
      <c r="C94" s="731"/>
      <c r="D94" s="731"/>
      <c r="E94" s="731"/>
      <c r="F94" s="731"/>
      <c r="G94" s="731"/>
      <c r="H94" s="814"/>
      <c r="I94" s="746"/>
      <c r="J94" s="687" t="s">
        <v>2726</v>
      </c>
      <c r="K94" s="668">
        <v>150</v>
      </c>
      <c r="L94" s="666" t="str">
        <f>IF('из города'!$AG$9=3,"Дол.",IF('из города'!$AG$9=1,"Руб.","Грн."))</f>
        <v>Грн.</v>
      </c>
      <c r="M94" s="664">
        <f>I94*K94</f>
        <v>0</v>
      </c>
      <c r="N94" s="652" t="str">
        <f>IF('из города'!$AG$9=3,"Дол.",IF('из города'!$AG$9=1,"Руб.","Грн."))</f>
        <v>Грн.</v>
      </c>
    </row>
    <row r="95" spans="1:16" ht="10" customHeight="1">
      <c r="B95" s="645"/>
      <c r="C95" s="646"/>
      <c r="D95" s="646"/>
      <c r="E95" s="646"/>
      <c r="F95" s="646"/>
      <c r="G95" s="646"/>
      <c r="H95" s="647"/>
      <c r="I95" s="668"/>
      <c r="J95" s="687"/>
      <c r="K95" s="668"/>
      <c r="L95" s="666"/>
      <c r="M95" s="664"/>
      <c r="N95" s="652"/>
    </row>
    <row r="96" spans="1:16" ht="10" customHeight="1">
      <c r="B96" s="648"/>
      <c r="C96" s="649"/>
      <c r="D96" s="649"/>
      <c r="E96" s="649"/>
      <c r="F96" s="649"/>
      <c r="G96" s="649"/>
      <c r="H96" s="650"/>
      <c r="I96" s="689"/>
      <c r="J96" s="688"/>
      <c r="K96" s="689"/>
      <c r="L96" s="681"/>
      <c r="M96" s="682"/>
      <c r="N96" s="690"/>
    </row>
    <row r="97" spans="1:14" ht="10" customHeight="1">
      <c r="B97" s="738" t="s">
        <v>2744</v>
      </c>
      <c r="C97" s="739"/>
      <c r="D97" s="739"/>
      <c r="E97" s="739"/>
      <c r="F97" s="739"/>
      <c r="G97" s="739"/>
      <c r="H97" s="842"/>
      <c r="I97" s="659">
        <v>0</v>
      </c>
      <c r="J97" s="686" t="s">
        <v>2731</v>
      </c>
      <c r="K97" s="667">
        <v>150</v>
      </c>
      <c r="L97" s="665" t="str">
        <f>IF('из города'!$AG$9=3,"Дол.",IF('из города'!$AG$9=1,"Руб.","Грн."))</f>
        <v>Грн.</v>
      </c>
      <c r="M97" s="663">
        <f>I97*K97</f>
        <v>0</v>
      </c>
      <c r="N97" s="651" t="str">
        <f>IF('из города'!$AG$9=3,"Дол.",IF('из города'!$AG$9=1,"Руб.","Грн."))</f>
        <v>Грн.</v>
      </c>
    </row>
    <row r="98" spans="1:14" ht="10" customHeight="1">
      <c r="B98" s="740"/>
      <c r="C98" s="741"/>
      <c r="D98" s="741"/>
      <c r="E98" s="741"/>
      <c r="F98" s="741"/>
      <c r="G98" s="741"/>
      <c r="H98" s="843"/>
      <c r="I98" s="851"/>
      <c r="J98" s="687"/>
      <c r="K98" s="668"/>
      <c r="L98" s="666"/>
      <c r="M98" s="664"/>
      <c r="N98" s="652"/>
    </row>
    <row r="99" spans="1:14" ht="10" customHeight="1">
      <c r="B99" s="742"/>
      <c r="C99" s="743"/>
      <c r="D99" s="743"/>
      <c r="E99" s="743"/>
      <c r="F99" s="743"/>
      <c r="G99" s="743"/>
      <c r="H99" s="844"/>
      <c r="I99" s="852"/>
      <c r="J99" s="688"/>
      <c r="K99" s="689"/>
      <c r="L99" s="681"/>
      <c r="M99" s="682"/>
      <c r="N99" s="690"/>
    </row>
    <row r="100" spans="1:14" ht="10" customHeight="1">
      <c r="B100" s="738" t="s">
        <v>2745</v>
      </c>
      <c r="C100" s="739"/>
      <c r="D100" s="739"/>
      <c r="E100" s="739"/>
      <c r="F100" s="739"/>
      <c r="G100" s="739"/>
      <c r="H100" s="842"/>
      <c r="I100" s="853">
        <v>0</v>
      </c>
      <c r="J100" s="686" t="s">
        <v>13</v>
      </c>
      <c r="K100" s="667">
        <v>250</v>
      </c>
      <c r="L100" s="665" t="str">
        <f>IF('из города'!$AG$9=3,"Дол.",IF('из города'!$AG$9=1,"Руб.","Грн."))</f>
        <v>Грн.</v>
      </c>
      <c r="M100" s="663">
        <f>I100*K100</f>
        <v>0</v>
      </c>
      <c r="N100" s="651" t="str">
        <f>IF('из города'!$AG$9=3,"Дол.",IF('из города'!$AG$9=1,"Руб.","Грн."))</f>
        <v>Грн.</v>
      </c>
    </row>
    <row r="101" spans="1:14" ht="10" customHeight="1">
      <c r="B101" s="740"/>
      <c r="C101" s="741"/>
      <c r="D101" s="741"/>
      <c r="E101" s="741"/>
      <c r="F101" s="741"/>
      <c r="G101" s="741"/>
      <c r="H101" s="843"/>
      <c r="I101" s="854"/>
      <c r="J101" s="687"/>
      <c r="K101" s="668"/>
      <c r="L101" s="666"/>
      <c r="M101" s="664"/>
      <c r="N101" s="652"/>
    </row>
    <row r="102" spans="1:14" ht="10" customHeight="1">
      <c r="B102" s="742"/>
      <c r="C102" s="743"/>
      <c r="D102" s="743"/>
      <c r="E102" s="743"/>
      <c r="F102" s="743"/>
      <c r="G102" s="743"/>
      <c r="H102" s="844"/>
      <c r="I102" s="855"/>
      <c r="J102" s="688"/>
      <c r="K102" s="689"/>
      <c r="L102" s="681"/>
      <c r="M102" s="682"/>
      <c r="N102" s="690"/>
    </row>
    <row r="103" spans="1:14" ht="9" customHeight="1">
      <c r="A103" s="285" t="b">
        <v>0</v>
      </c>
      <c r="B103" s="749" t="s">
        <v>2723</v>
      </c>
      <c r="C103" s="750"/>
      <c r="D103" s="750"/>
      <c r="E103" s="750"/>
      <c r="F103" s="750"/>
      <c r="G103" s="750"/>
      <c r="H103" s="259"/>
      <c r="I103" s="259"/>
      <c r="J103" s="260"/>
      <c r="K103" s="845">
        <f>M103/P84</f>
        <v>0</v>
      </c>
      <c r="L103" s="759" t="s">
        <v>17</v>
      </c>
      <c r="M103" s="845">
        <f>IF(A103=TRUE,M94+M97+M100,0)</f>
        <v>0</v>
      </c>
      <c r="N103" s="679" t="str">
        <f>IF('из города'!$AG$9=3,"Дол.",IF('из города'!$AG$9=1,"Руб.","Грн."))</f>
        <v>Грн.</v>
      </c>
    </row>
    <row r="104" spans="1:14" ht="9" customHeight="1">
      <c r="B104" s="751"/>
      <c r="C104" s="752"/>
      <c r="D104" s="752"/>
      <c r="E104" s="752"/>
      <c r="F104" s="752"/>
      <c r="G104" s="752"/>
      <c r="H104" s="259"/>
      <c r="I104" s="259"/>
      <c r="J104" s="704"/>
      <c r="K104" s="747"/>
      <c r="L104" s="704"/>
      <c r="M104" s="747"/>
      <c r="N104" s="679"/>
    </row>
    <row r="105" spans="1:14" ht="9" customHeight="1">
      <c r="B105" s="751"/>
      <c r="C105" s="752"/>
      <c r="D105" s="752"/>
      <c r="E105" s="752"/>
      <c r="F105" s="752"/>
      <c r="G105" s="752"/>
      <c r="H105" s="259"/>
      <c r="I105" s="259"/>
      <c r="J105" s="704"/>
      <c r="K105" s="747"/>
      <c r="L105" s="704"/>
      <c r="M105" s="747"/>
      <c r="N105" s="679"/>
    </row>
    <row r="106" spans="1:14" ht="9" customHeight="1" thickBot="1">
      <c r="B106" s="753"/>
      <c r="C106" s="754"/>
      <c r="D106" s="754"/>
      <c r="E106" s="754"/>
      <c r="F106" s="754"/>
      <c r="G106" s="754"/>
      <c r="H106" s="261"/>
      <c r="I106" s="261"/>
      <c r="J106" s="705"/>
      <c r="K106" s="748"/>
      <c r="L106" s="705"/>
      <c r="M106" s="748"/>
      <c r="N106" s="763"/>
    </row>
    <row r="107" spans="1:14" ht="15" thickTop="1"/>
  </sheetData>
  <sheetProtection password="C665" sheet="1" selectLockedCells="1"/>
  <mergeCells count="248">
    <mergeCell ref="L100:L102"/>
    <mergeCell ref="N103:N106"/>
    <mergeCell ref="J104:J106"/>
    <mergeCell ref="L103:L106"/>
    <mergeCell ref="M103:M106"/>
    <mergeCell ref="M100:M102"/>
    <mergeCell ref="N100:N102"/>
    <mergeCell ref="B100:H102"/>
    <mergeCell ref="B97:H99"/>
    <mergeCell ref="I97:I99"/>
    <mergeCell ref="N97:N99"/>
    <mergeCell ref="I100:I102"/>
    <mergeCell ref="J100:J102"/>
    <mergeCell ref="B103:G106"/>
    <mergeCell ref="K103:K106"/>
    <mergeCell ref="M97:M99"/>
    <mergeCell ref="I10:I12"/>
    <mergeCell ref="J10:J12"/>
    <mergeCell ref="B13:H15"/>
    <mergeCell ref="J22:J24"/>
    <mergeCell ref="I94:I96"/>
    <mergeCell ref="J94:J96"/>
    <mergeCell ref="K94:K96"/>
    <mergeCell ref="K100:K102"/>
    <mergeCell ref="I91:J93"/>
    <mergeCell ref="K91:L93"/>
    <mergeCell ref="B94:H96"/>
    <mergeCell ref="L97:L99"/>
    <mergeCell ref="B89:N90"/>
    <mergeCell ref="B91:H93"/>
    <mergeCell ref="I16:I18"/>
    <mergeCell ref="J16:J18"/>
    <mergeCell ref="B22:H24"/>
    <mergeCell ref="I22:I24"/>
    <mergeCell ref="B28:H30"/>
    <mergeCell ref="I28:I30"/>
    <mergeCell ref="J28:J30"/>
    <mergeCell ref="B25:H27"/>
    <mergeCell ref="I25:I27"/>
    <mergeCell ref="J25:J27"/>
    <mergeCell ref="K1:L1"/>
    <mergeCell ref="B2:N3"/>
    <mergeCell ref="B4:H6"/>
    <mergeCell ref="I4:J6"/>
    <mergeCell ref="K4:L6"/>
    <mergeCell ref="M4:N6"/>
    <mergeCell ref="J97:J99"/>
    <mergeCell ref="K97:K99"/>
    <mergeCell ref="J7:J9"/>
    <mergeCell ref="K7:K9"/>
    <mergeCell ref="L94:L96"/>
    <mergeCell ref="M94:M96"/>
    <mergeCell ref="N94:N96"/>
    <mergeCell ref="M91:N93"/>
    <mergeCell ref="N13:N15"/>
    <mergeCell ref="I7:I9"/>
    <mergeCell ref="M10:M12"/>
    <mergeCell ref="N10:N12"/>
    <mergeCell ref="I13:I15"/>
    <mergeCell ref="J13:J15"/>
    <mergeCell ref="B19:H21"/>
    <mergeCell ref="I19:I21"/>
    <mergeCell ref="J19:J21"/>
    <mergeCell ref="B16:H18"/>
    <mergeCell ref="P84:P86"/>
    <mergeCell ref="L7:L9"/>
    <mergeCell ref="M7:M9"/>
    <mergeCell ref="K13:K15"/>
    <mergeCell ref="L13:L15"/>
    <mergeCell ref="M13:M15"/>
    <mergeCell ref="N7:N9"/>
    <mergeCell ref="M19:M21"/>
    <mergeCell ref="K10:K12"/>
    <mergeCell ref="L10:L12"/>
    <mergeCell ref="N16:N18"/>
    <mergeCell ref="K19:K21"/>
    <mergeCell ref="N22:N24"/>
    <mergeCell ref="N19:N21"/>
    <mergeCell ref="K16:K18"/>
    <mergeCell ref="L16:L18"/>
    <mergeCell ref="M16:M18"/>
    <mergeCell ref="L19:L21"/>
    <mergeCell ref="K28:K30"/>
    <mergeCell ref="L28:L30"/>
    <mergeCell ref="M28:M30"/>
    <mergeCell ref="K25:K27"/>
    <mergeCell ref="L25:L27"/>
    <mergeCell ref="M25:M27"/>
    <mergeCell ref="K22:K24"/>
    <mergeCell ref="L22:L24"/>
    <mergeCell ref="M22:M24"/>
    <mergeCell ref="N28:N30"/>
    <mergeCell ref="N31:N33"/>
    <mergeCell ref="B31:H33"/>
    <mergeCell ref="I31:I33"/>
    <mergeCell ref="J31:J33"/>
    <mergeCell ref="K31:K33"/>
    <mergeCell ref="L31:L33"/>
    <mergeCell ref="M31:M33"/>
    <mergeCell ref="N25:N27"/>
    <mergeCell ref="N40:N42"/>
    <mergeCell ref="B40:H42"/>
    <mergeCell ref="I40:I42"/>
    <mergeCell ref="J40:J42"/>
    <mergeCell ref="K40:K42"/>
    <mergeCell ref="L40:L42"/>
    <mergeCell ref="M40:M42"/>
    <mergeCell ref="N34:N36"/>
    <mergeCell ref="B37:H39"/>
    <mergeCell ref="I37:I39"/>
    <mergeCell ref="J37:J39"/>
    <mergeCell ref="K37:K39"/>
    <mergeCell ref="L37:L39"/>
    <mergeCell ref="M37:M39"/>
    <mergeCell ref="N37:N39"/>
    <mergeCell ref="B34:H36"/>
    <mergeCell ref="I34:I36"/>
    <mergeCell ref="J34:J36"/>
    <mergeCell ref="K34:K36"/>
    <mergeCell ref="L34:L36"/>
    <mergeCell ref="M34:M36"/>
    <mergeCell ref="N43:N45"/>
    <mergeCell ref="B46:H48"/>
    <mergeCell ref="I46:I48"/>
    <mergeCell ref="J46:J48"/>
    <mergeCell ref="K46:K48"/>
    <mergeCell ref="L46:L48"/>
    <mergeCell ref="M46:M48"/>
    <mergeCell ref="N46:N48"/>
    <mergeCell ref="B43:H45"/>
    <mergeCell ref="I43:I45"/>
    <mergeCell ref="J43:J45"/>
    <mergeCell ref="K43:K45"/>
    <mergeCell ref="L43:L45"/>
    <mergeCell ref="M43:M45"/>
    <mergeCell ref="N49:N51"/>
    <mergeCell ref="N52:N54"/>
    <mergeCell ref="B52:H54"/>
    <mergeCell ref="I52:I54"/>
    <mergeCell ref="J52:J54"/>
    <mergeCell ref="K52:K54"/>
    <mergeCell ref="L52:L54"/>
    <mergeCell ref="M52:M54"/>
    <mergeCell ref="B49:H51"/>
    <mergeCell ref="I49:I51"/>
    <mergeCell ref="J49:J51"/>
    <mergeCell ref="K49:K51"/>
    <mergeCell ref="L49:L51"/>
    <mergeCell ref="M49:M51"/>
    <mergeCell ref="B61:H62"/>
    <mergeCell ref="I61:I62"/>
    <mergeCell ref="J61:J62"/>
    <mergeCell ref="K61:K62"/>
    <mergeCell ref="L61:L62"/>
    <mergeCell ref="M61:M62"/>
    <mergeCell ref="N61:N62"/>
    <mergeCell ref="N55:N57"/>
    <mergeCell ref="B58:H60"/>
    <mergeCell ref="I58:I60"/>
    <mergeCell ref="J58:J60"/>
    <mergeCell ref="K58:K60"/>
    <mergeCell ref="L58:L60"/>
    <mergeCell ref="M58:M60"/>
    <mergeCell ref="N58:N60"/>
    <mergeCell ref="B55:H57"/>
    <mergeCell ref="I55:I57"/>
    <mergeCell ref="J55:J57"/>
    <mergeCell ref="K55:K57"/>
    <mergeCell ref="L55:L57"/>
    <mergeCell ref="M55:M57"/>
    <mergeCell ref="N63:N64"/>
    <mergeCell ref="N65:N66"/>
    <mergeCell ref="B65:H66"/>
    <mergeCell ref="I65:I66"/>
    <mergeCell ref="J65:J66"/>
    <mergeCell ref="K65:K66"/>
    <mergeCell ref="L65:L66"/>
    <mergeCell ref="M65:M66"/>
    <mergeCell ref="B63:H64"/>
    <mergeCell ref="I63:I64"/>
    <mergeCell ref="J63:J64"/>
    <mergeCell ref="K63:K64"/>
    <mergeCell ref="L63:L64"/>
    <mergeCell ref="M63:M64"/>
    <mergeCell ref="B71:H72"/>
    <mergeCell ref="I71:I72"/>
    <mergeCell ref="J71:J72"/>
    <mergeCell ref="K71:K72"/>
    <mergeCell ref="L71:L72"/>
    <mergeCell ref="M71:M72"/>
    <mergeCell ref="N71:N72"/>
    <mergeCell ref="N67:N68"/>
    <mergeCell ref="B69:H70"/>
    <mergeCell ref="I69:I70"/>
    <mergeCell ref="J69:J70"/>
    <mergeCell ref="K69:K70"/>
    <mergeCell ref="L69:L70"/>
    <mergeCell ref="M69:M70"/>
    <mergeCell ref="N69:N70"/>
    <mergeCell ref="B67:H68"/>
    <mergeCell ref="I67:I68"/>
    <mergeCell ref="J67:J68"/>
    <mergeCell ref="K67:K68"/>
    <mergeCell ref="L67:L68"/>
    <mergeCell ref="M67:M68"/>
    <mergeCell ref="I77:I78"/>
    <mergeCell ref="J77:J78"/>
    <mergeCell ref="K77:K78"/>
    <mergeCell ref="L77:L78"/>
    <mergeCell ref="M77:M78"/>
    <mergeCell ref="N73:N74"/>
    <mergeCell ref="B75:H76"/>
    <mergeCell ref="I75:I76"/>
    <mergeCell ref="J75:J76"/>
    <mergeCell ref="K75:K76"/>
    <mergeCell ref="L75:L76"/>
    <mergeCell ref="M75:M76"/>
    <mergeCell ref="N75:N76"/>
    <mergeCell ref="B73:H74"/>
    <mergeCell ref="I73:I74"/>
    <mergeCell ref="J73:J74"/>
    <mergeCell ref="K73:K74"/>
    <mergeCell ref="L73:L74"/>
    <mergeCell ref="M73:M74"/>
    <mergeCell ref="B7:H9"/>
    <mergeCell ref="B10:H12"/>
    <mergeCell ref="N81:N82"/>
    <mergeCell ref="B83:G86"/>
    <mergeCell ref="K83:K86"/>
    <mergeCell ref="L83:L86"/>
    <mergeCell ref="M83:M86"/>
    <mergeCell ref="N83:N86"/>
    <mergeCell ref="J84:J86"/>
    <mergeCell ref="B81:H82"/>
    <mergeCell ref="I81:I82"/>
    <mergeCell ref="J81:J82"/>
    <mergeCell ref="K81:K82"/>
    <mergeCell ref="L81:L82"/>
    <mergeCell ref="M81:M82"/>
    <mergeCell ref="N77:N78"/>
    <mergeCell ref="N79:N80"/>
    <mergeCell ref="B79:H80"/>
    <mergeCell ref="I79:I80"/>
    <mergeCell ref="J79:J80"/>
    <mergeCell ref="K79:K80"/>
    <mergeCell ref="L79:L80"/>
    <mergeCell ref="M79:M80"/>
    <mergeCell ref="B77:H78"/>
  </mergeCells>
  <hyperlinks>
    <hyperlink ref="E1" location="Купол!A1" display="Купол"/>
    <hyperlink ref="F1" location="козырёк!A1" display="Козырьки"/>
    <hyperlink ref="H1" location="'Стены 1'!A1" display="Стены 1"/>
    <hyperlink ref="I1" location="Перекрытие2!A1" display="Перекрытие 2"/>
    <hyperlink ref="J1" location="Стены2!A1" display="Стены 2"/>
    <hyperlink ref="K1" location="Башня!A1" display="Обзорная башня"/>
    <hyperlink ref="N1" location="Доставка!A1" display="Окна"/>
    <hyperlink ref="D1" location="'Смета фунд.'!A1" display="Смета фундамента"/>
    <hyperlink ref="M1" location="Окна!A1" display="Окна"/>
    <hyperlink ref="B1" location="Главная!A1" display="Главная"/>
    <hyperlink ref="G1" location="'Перекрытия 1'!A1" display="Перекр.1"/>
    <hyperlink ref="C1" location="'Район фунд.'!A1" display="Район фундамента"/>
  </hyperlinks>
  <pageMargins left="0.7" right="0.7" top="0.75" bottom="0.75" header="0.3" footer="0.3"/>
  <pageSetup paperSize="9" orientation="portrait" horizontalDpi="180" verticalDpi="18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AV111"/>
  <sheetViews>
    <sheetView showGridLines="0" showRowColHeaders="0" workbookViewId="0">
      <pane ySplit="1" topLeftCell="A2" activePane="bottomLeft" state="frozen"/>
      <selection pane="bottomLeft" activeCell="H1" sqref="H1"/>
    </sheetView>
  </sheetViews>
  <sheetFormatPr defaultRowHeight="14.5"/>
  <cols>
    <col min="1" max="1" width="7" customWidth="1"/>
    <col min="2" max="18" width="9.08984375" customWidth="1"/>
  </cols>
  <sheetData>
    <row r="1" spans="1:48" ht="21.5" customHeight="1" thickTop="1" thickBot="1">
      <c r="A1" s="263"/>
      <c r="B1" s="204" t="s">
        <v>2612</v>
      </c>
      <c r="C1" s="278" t="s">
        <v>2682</v>
      </c>
      <c r="D1" s="278" t="s">
        <v>2662</v>
      </c>
      <c r="E1" s="278" t="s">
        <v>2603</v>
      </c>
      <c r="F1" s="278" t="s">
        <v>2604</v>
      </c>
      <c r="G1" s="323" t="s">
        <v>2613</v>
      </c>
      <c r="H1" s="204" t="s">
        <v>2607</v>
      </c>
      <c r="I1" s="278" t="s">
        <v>2614</v>
      </c>
      <c r="J1" s="278" t="s">
        <v>2608</v>
      </c>
      <c r="K1" s="519" t="s">
        <v>2605</v>
      </c>
      <c r="L1" s="520"/>
      <c r="M1" s="278" t="s">
        <v>2606</v>
      </c>
      <c r="N1" s="278" t="s">
        <v>2634</v>
      </c>
      <c r="O1" s="263"/>
    </row>
    <row r="2" spans="1:48" ht="12" customHeight="1" thickTop="1">
      <c r="A2" s="263"/>
      <c r="B2" s="706" t="s">
        <v>2666</v>
      </c>
      <c r="C2" s="697"/>
      <c r="D2" s="697"/>
      <c r="E2" s="697"/>
      <c r="F2" s="697"/>
      <c r="G2" s="697"/>
      <c r="H2" s="697"/>
      <c r="I2" s="697"/>
      <c r="J2" s="697"/>
      <c r="K2" s="697"/>
      <c r="L2" s="697"/>
      <c r="M2" s="697"/>
      <c r="N2" s="697"/>
      <c r="O2" s="263"/>
      <c r="AQ2" s="113"/>
      <c r="AR2" s="113"/>
      <c r="AS2" s="113"/>
      <c r="AT2" s="113"/>
      <c r="AU2" s="113"/>
      <c r="AV2" s="113"/>
    </row>
    <row r="3" spans="1:48" ht="12" customHeight="1" thickBot="1">
      <c r="A3" s="263"/>
      <c r="B3" s="849"/>
      <c r="C3" s="698"/>
      <c r="D3" s="698"/>
      <c r="E3" s="698"/>
      <c r="F3" s="698"/>
      <c r="G3" s="698"/>
      <c r="H3" s="698"/>
      <c r="I3" s="698"/>
      <c r="J3" s="698"/>
      <c r="K3" s="698"/>
      <c r="L3" s="698"/>
      <c r="M3" s="698"/>
      <c r="N3" s="698"/>
      <c r="O3" s="263"/>
      <c r="AQ3" s="113"/>
      <c r="AR3" s="113"/>
      <c r="AS3" s="113"/>
      <c r="AT3" s="113"/>
      <c r="AU3" s="113"/>
      <c r="AV3" s="113"/>
    </row>
    <row r="4" spans="1:48" ht="11" customHeight="1" thickTop="1">
      <c r="A4" s="263"/>
      <c r="B4" s="504" t="s">
        <v>0</v>
      </c>
      <c r="C4" s="712"/>
      <c r="D4" s="712"/>
      <c r="E4" s="712"/>
      <c r="F4" s="712"/>
      <c r="G4" s="712"/>
      <c r="H4" s="713"/>
      <c r="I4" s="477" t="s">
        <v>1</v>
      </c>
      <c r="J4" s="479"/>
      <c r="K4" s="477" t="s">
        <v>2</v>
      </c>
      <c r="L4" s="479"/>
      <c r="M4" s="478" t="s">
        <v>3</v>
      </c>
      <c r="N4" s="479"/>
      <c r="O4" s="263"/>
      <c r="AC4" s="308"/>
      <c r="AD4" s="308"/>
      <c r="AE4" s="308"/>
      <c r="AF4" s="308"/>
      <c r="AG4" s="308"/>
      <c r="AH4" s="308"/>
      <c r="AI4" s="308"/>
      <c r="AJ4" s="308"/>
      <c r="AK4" s="308"/>
      <c r="AL4" s="308"/>
      <c r="AM4" s="308"/>
      <c r="AN4" s="308"/>
      <c r="AO4" s="174"/>
      <c r="AQ4" s="113"/>
      <c r="AR4" s="113"/>
      <c r="AS4" s="113"/>
      <c r="AT4" s="113" t="s">
        <v>2127</v>
      </c>
      <c r="AU4" s="114">
        <f>AI18+AI30+AI33</f>
        <v>0</v>
      </c>
      <c r="AV4" s="113">
        <f>AN18+AN30+AN33</f>
        <v>0</v>
      </c>
    </row>
    <row r="5" spans="1:48" ht="11" customHeight="1">
      <c r="A5" s="263"/>
      <c r="B5" s="714"/>
      <c r="C5" s="850"/>
      <c r="D5" s="850"/>
      <c r="E5" s="850"/>
      <c r="F5" s="850"/>
      <c r="G5" s="850"/>
      <c r="H5" s="716"/>
      <c r="I5" s="480"/>
      <c r="J5" s="482"/>
      <c r="K5" s="480"/>
      <c r="L5" s="482"/>
      <c r="M5" s="481"/>
      <c r="N5" s="482"/>
      <c r="O5" s="263"/>
      <c r="AC5" s="308"/>
      <c r="AD5" s="308"/>
      <c r="AE5" s="308"/>
      <c r="AF5" s="308"/>
      <c r="AG5" s="308"/>
      <c r="AH5" s="308"/>
      <c r="AI5" s="308"/>
      <c r="AJ5" s="308"/>
      <c r="AK5" s="308"/>
      <c r="AL5" s="308"/>
      <c r="AM5" s="308"/>
      <c r="AN5" s="308"/>
      <c r="AO5" s="174"/>
      <c r="AQ5" s="113"/>
      <c r="AR5" s="113"/>
      <c r="AS5" s="113"/>
      <c r="AT5" s="113" t="s">
        <v>2129</v>
      </c>
      <c r="AU5" s="113">
        <f>AI15</f>
        <v>0</v>
      </c>
      <c r="AV5" s="113">
        <f>AN15</f>
        <v>0</v>
      </c>
    </row>
    <row r="6" spans="1:48" ht="11" customHeight="1" thickBot="1">
      <c r="A6" s="263"/>
      <c r="B6" s="717"/>
      <c r="C6" s="710"/>
      <c r="D6" s="710"/>
      <c r="E6" s="710"/>
      <c r="F6" s="710"/>
      <c r="G6" s="710"/>
      <c r="H6" s="711"/>
      <c r="I6" s="483"/>
      <c r="J6" s="485"/>
      <c r="K6" s="483"/>
      <c r="L6" s="485"/>
      <c r="M6" s="484"/>
      <c r="N6" s="485"/>
      <c r="O6" s="263"/>
      <c r="AC6" s="293"/>
      <c r="AD6" s="293"/>
      <c r="AE6" s="293"/>
      <c r="AF6" s="293"/>
      <c r="AG6" s="293"/>
      <c r="AH6" s="293"/>
      <c r="AI6" s="294"/>
      <c r="AJ6" s="294"/>
      <c r="AK6" s="295"/>
      <c r="AL6" s="296"/>
      <c r="AM6" s="295"/>
      <c r="AN6" s="297"/>
      <c r="AO6" s="290"/>
      <c r="AP6" s="125"/>
      <c r="AQ6" s="113" t="s">
        <v>2122</v>
      </c>
      <c r="AR6" s="113">
        <f>AI9</f>
        <v>0</v>
      </c>
      <c r="AS6" s="113">
        <f>AN9</f>
        <v>0</v>
      </c>
      <c r="AT6" s="113" t="s">
        <v>2130</v>
      </c>
      <c r="AU6" s="113">
        <f>AI21</f>
        <v>0</v>
      </c>
      <c r="AV6" s="113">
        <f>AN21</f>
        <v>0</v>
      </c>
    </row>
    <row r="7" spans="1:48" ht="6" customHeight="1" thickTop="1">
      <c r="A7" s="263"/>
      <c r="B7" s="730" t="s">
        <v>2667</v>
      </c>
      <c r="C7" s="731"/>
      <c r="D7" s="731"/>
      <c r="E7" s="731"/>
      <c r="F7" s="731"/>
      <c r="G7" s="731"/>
      <c r="H7" s="814"/>
      <c r="I7" s="861">
        <v>1</v>
      </c>
      <c r="J7" s="687" t="s">
        <v>2108</v>
      </c>
      <c r="K7" s="668">
        <v>3500</v>
      </c>
      <c r="L7" s="666" t="str">
        <f>IF('из города'!$AG$9=3,"Дол.",IF('из города'!$AG$9=1,"Руб.","Грн."))</f>
        <v>Грн.</v>
      </c>
      <c r="M7" s="664">
        <f>I7*K7</f>
        <v>3500</v>
      </c>
      <c r="N7" s="652" t="str">
        <f>IF('из города'!$AG$9=3,"Дол.",IF('из города'!$AG$9=1,"Руб.","Грн."))</f>
        <v>Грн.</v>
      </c>
      <c r="O7" s="427">
        <f>I7</f>
        <v>1</v>
      </c>
      <c r="P7" s="113">
        <f>M7</f>
        <v>3500</v>
      </c>
      <c r="AC7" s="293"/>
      <c r="AD7" s="293"/>
      <c r="AE7" s="293"/>
      <c r="AF7" s="293"/>
      <c r="AG7" s="293"/>
      <c r="AH7" s="293"/>
      <c r="AI7" s="294"/>
      <c r="AJ7" s="294"/>
      <c r="AK7" s="295"/>
      <c r="AL7" s="296"/>
      <c r="AM7" s="295"/>
      <c r="AN7" s="297"/>
      <c r="AO7" s="290"/>
      <c r="AP7" s="125"/>
      <c r="AQ7" s="113" t="s">
        <v>2123</v>
      </c>
      <c r="AR7" s="113">
        <f>AI12</f>
        <v>0</v>
      </c>
      <c r="AS7" s="113">
        <f>AN12</f>
        <v>0</v>
      </c>
      <c r="AT7" s="113" t="s">
        <v>2131</v>
      </c>
      <c r="AU7" s="113">
        <f>AI24</f>
        <v>0</v>
      </c>
      <c r="AV7" s="113">
        <f>AN24</f>
        <v>0</v>
      </c>
    </row>
    <row r="8" spans="1:48" ht="6" customHeight="1">
      <c r="A8" s="263"/>
      <c r="B8" s="645"/>
      <c r="C8" s="646"/>
      <c r="D8" s="646"/>
      <c r="E8" s="646"/>
      <c r="F8" s="646"/>
      <c r="G8" s="646"/>
      <c r="H8" s="647"/>
      <c r="I8" s="861"/>
      <c r="J8" s="687"/>
      <c r="K8" s="668"/>
      <c r="L8" s="666"/>
      <c r="M8" s="664"/>
      <c r="N8" s="652"/>
      <c r="O8" s="427">
        <f t="shared" ref="O8:O71" si="0">I8</f>
        <v>0</v>
      </c>
      <c r="P8" s="113">
        <f t="shared" ref="P8:P71" si="1">M8</f>
        <v>0</v>
      </c>
      <c r="AC8" s="293"/>
      <c r="AD8" s="293"/>
      <c r="AE8" s="293"/>
      <c r="AF8" s="293"/>
      <c r="AG8" s="293"/>
      <c r="AH8" s="293"/>
      <c r="AI8" s="294"/>
      <c r="AJ8" s="294"/>
      <c r="AK8" s="295"/>
      <c r="AL8" s="296"/>
      <c r="AM8" s="295"/>
      <c r="AN8" s="297"/>
      <c r="AO8" s="290"/>
      <c r="AP8" s="125"/>
      <c r="AQ8" s="113" t="s">
        <v>2126</v>
      </c>
      <c r="AR8" s="113">
        <f>AI27</f>
        <v>0</v>
      </c>
      <c r="AS8" s="113">
        <f>AN27</f>
        <v>0</v>
      </c>
      <c r="AT8" s="113"/>
      <c r="AU8" s="113"/>
      <c r="AV8" s="113"/>
    </row>
    <row r="9" spans="1:48" ht="6" customHeight="1">
      <c r="A9" s="263"/>
      <c r="B9" s="648"/>
      <c r="C9" s="649"/>
      <c r="D9" s="649"/>
      <c r="E9" s="649"/>
      <c r="F9" s="649"/>
      <c r="G9" s="649"/>
      <c r="H9" s="650"/>
      <c r="I9" s="862"/>
      <c r="J9" s="688"/>
      <c r="K9" s="689"/>
      <c r="L9" s="681"/>
      <c r="M9" s="682"/>
      <c r="N9" s="690"/>
      <c r="O9" s="427">
        <f t="shared" si="0"/>
        <v>0</v>
      </c>
      <c r="P9" s="113">
        <f t="shared" si="1"/>
        <v>0</v>
      </c>
      <c r="AC9" s="298"/>
      <c r="AD9" s="298"/>
      <c r="AE9" s="298"/>
      <c r="AF9" s="298"/>
      <c r="AG9" s="298"/>
      <c r="AH9" s="298"/>
      <c r="AI9" s="299"/>
      <c r="AJ9" s="299"/>
      <c r="AK9" s="295"/>
      <c r="AL9" s="300"/>
      <c r="AM9" s="295"/>
      <c r="AN9" s="298"/>
      <c r="AO9" s="295"/>
      <c r="AP9" s="125"/>
      <c r="AQ9" s="113"/>
      <c r="AR9" s="113"/>
      <c r="AS9" s="113"/>
      <c r="AT9" s="113"/>
      <c r="AU9" s="113"/>
      <c r="AV9" s="113"/>
    </row>
    <row r="10" spans="1:48" ht="6" customHeight="1">
      <c r="A10" s="263"/>
      <c r="B10" s="738" t="s">
        <v>2668</v>
      </c>
      <c r="C10" s="739"/>
      <c r="D10" s="739"/>
      <c r="E10" s="739"/>
      <c r="F10" s="739"/>
      <c r="G10" s="739"/>
      <c r="H10" s="842"/>
      <c r="I10" s="853">
        <v>1</v>
      </c>
      <c r="J10" s="686" t="s">
        <v>2108</v>
      </c>
      <c r="K10" s="667">
        <v>3500</v>
      </c>
      <c r="L10" s="665" t="str">
        <f>IF('из города'!$AG$9=3,"Дол.",IF('из города'!$AG$9=1,"Руб.","Грн."))</f>
        <v>Грн.</v>
      </c>
      <c r="M10" s="663">
        <f>I10*K10</f>
        <v>3500</v>
      </c>
      <c r="N10" s="651" t="str">
        <f>IF('из города'!$AG$9=3,"Дол.",IF('из города'!$AG$9=1,"Руб.","Грн."))</f>
        <v>Грн.</v>
      </c>
      <c r="O10" s="427">
        <f t="shared" si="0"/>
        <v>1</v>
      </c>
      <c r="P10" s="113">
        <f t="shared" si="1"/>
        <v>3500</v>
      </c>
      <c r="AC10" s="298"/>
      <c r="AD10" s="298"/>
      <c r="AE10" s="298"/>
      <c r="AF10" s="298"/>
      <c r="AG10" s="298"/>
      <c r="AH10" s="298"/>
      <c r="AI10" s="299"/>
      <c r="AJ10" s="299"/>
      <c r="AK10" s="295"/>
      <c r="AL10" s="300"/>
      <c r="AM10" s="295"/>
      <c r="AN10" s="298"/>
      <c r="AO10" s="295"/>
      <c r="AP10" s="125"/>
      <c r="AQ10" s="113"/>
      <c r="AR10" s="113"/>
      <c r="AS10" s="113"/>
      <c r="AT10" s="113"/>
      <c r="AU10" s="113"/>
      <c r="AV10" s="113"/>
    </row>
    <row r="11" spans="1:48" ht="6" customHeight="1">
      <c r="A11" s="263"/>
      <c r="B11" s="740"/>
      <c r="C11" s="741"/>
      <c r="D11" s="741"/>
      <c r="E11" s="741"/>
      <c r="F11" s="741"/>
      <c r="G11" s="741"/>
      <c r="H11" s="843"/>
      <c r="I11" s="854"/>
      <c r="J11" s="687"/>
      <c r="K11" s="668"/>
      <c r="L11" s="666"/>
      <c r="M11" s="664"/>
      <c r="N11" s="652"/>
      <c r="O11" s="427">
        <f t="shared" si="0"/>
        <v>0</v>
      </c>
      <c r="P11" s="113">
        <f t="shared" si="1"/>
        <v>0</v>
      </c>
      <c r="AC11" s="298"/>
      <c r="AD11" s="298"/>
      <c r="AE11" s="298"/>
      <c r="AF11" s="298"/>
      <c r="AG11" s="298"/>
      <c r="AH11" s="298"/>
      <c r="AI11" s="299"/>
      <c r="AJ11" s="299"/>
      <c r="AK11" s="295"/>
      <c r="AL11" s="300"/>
      <c r="AM11" s="295"/>
      <c r="AN11" s="298"/>
      <c r="AO11" s="295"/>
      <c r="AP11" s="125"/>
      <c r="AQ11" s="113"/>
      <c r="AR11" s="113"/>
      <c r="AS11" s="113"/>
      <c r="AT11" s="113"/>
      <c r="AU11" s="113"/>
      <c r="AV11" s="113"/>
    </row>
    <row r="12" spans="1:48" ht="6" customHeight="1">
      <c r="A12" s="263"/>
      <c r="B12" s="742"/>
      <c r="C12" s="743"/>
      <c r="D12" s="743"/>
      <c r="E12" s="743"/>
      <c r="F12" s="743"/>
      <c r="G12" s="743"/>
      <c r="H12" s="844"/>
      <c r="I12" s="855"/>
      <c r="J12" s="688"/>
      <c r="K12" s="689"/>
      <c r="L12" s="681"/>
      <c r="M12" s="682"/>
      <c r="N12" s="690"/>
      <c r="O12" s="427">
        <f t="shared" si="0"/>
        <v>0</v>
      </c>
      <c r="P12" s="113">
        <f t="shared" si="1"/>
        <v>0</v>
      </c>
      <c r="AC12" s="298"/>
      <c r="AD12" s="298"/>
      <c r="AE12" s="298"/>
      <c r="AF12" s="298"/>
      <c r="AG12" s="298"/>
      <c r="AH12" s="298"/>
      <c r="AI12" s="299"/>
      <c r="AJ12" s="299"/>
      <c r="AK12" s="295"/>
      <c r="AL12" s="300"/>
      <c r="AM12" s="295"/>
      <c r="AN12" s="298"/>
      <c r="AO12" s="295"/>
      <c r="AP12" s="125"/>
    </row>
    <row r="13" spans="1:48" ht="6" customHeight="1">
      <c r="A13" s="263"/>
      <c r="B13" s="677" t="s">
        <v>2669</v>
      </c>
      <c r="C13" s="643"/>
      <c r="D13" s="643"/>
      <c r="E13" s="643"/>
      <c r="F13" s="643"/>
      <c r="G13" s="643"/>
      <c r="H13" s="644"/>
      <c r="I13" s="853">
        <v>1</v>
      </c>
      <c r="J13" s="686" t="s">
        <v>2108</v>
      </c>
      <c r="K13" s="667">
        <v>6900</v>
      </c>
      <c r="L13" s="665" t="str">
        <f>IF('из города'!$AG$9=3,"Дол.",IF('из города'!$AG$9=1,"Руб.","Грн."))</f>
        <v>Грн.</v>
      </c>
      <c r="M13" s="663">
        <f>I13*K13</f>
        <v>6900</v>
      </c>
      <c r="N13" s="651" t="str">
        <f>IF('из города'!$AG$9=3,"Дол.",IF('из города'!$AG$9=1,"Руб.","Грн."))</f>
        <v>Грн.</v>
      </c>
      <c r="O13" s="427">
        <f t="shared" si="0"/>
        <v>1</v>
      </c>
      <c r="P13" s="113">
        <f t="shared" si="1"/>
        <v>6900</v>
      </c>
      <c r="AC13" s="298"/>
      <c r="AD13" s="298"/>
      <c r="AE13" s="298"/>
      <c r="AF13" s="298"/>
      <c r="AG13" s="298"/>
      <c r="AH13" s="298"/>
      <c r="AI13" s="299"/>
      <c r="AJ13" s="299"/>
      <c r="AK13" s="295"/>
      <c r="AL13" s="300"/>
      <c r="AM13" s="295"/>
      <c r="AN13" s="298"/>
      <c r="AO13" s="295"/>
      <c r="AP13" s="125"/>
    </row>
    <row r="14" spans="1:48" ht="6" customHeight="1">
      <c r="A14" s="263"/>
      <c r="B14" s="645"/>
      <c r="C14" s="646"/>
      <c r="D14" s="646"/>
      <c r="E14" s="646"/>
      <c r="F14" s="646"/>
      <c r="G14" s="646"/>
      <c r="H14" s="647"/>
      <c r="I14" s="854"/>
      <c r="J14" s="687"/>
      <c r="K14" s="668"/>
      <c r="L14" s="666"/>
      <c r="M14" s="664"/>
      <c r="N14" s="652"/>
      <c r="O14" s="427">
        <f t="shared" si="0"/>
        <v>0</v>
      </c>
      <c r="P14" s="113">
        <f t="shared" si="1"/>
        <v>0</v>
      </c>
      <c r="AC14" s="298"/>
      <c r="AD14" s="298"/>
      <c r="AE14" s="298"/>
      <c r="AF14" s="298"/>
      <c r="AG14" s="298"/>
      <c r="AH14" s="298"/>
      <c r="AI14" s="299"/>
      <c r="AJ14" s="299"/>
      <c r="AK14" s="295"/>
      <c r="AL14" s="300"/>
      <c r="AM14" s="295"/>
      <c r="AN14" s="298"/>
      <c r="AO14" s="295"/>
      <c r="AP14" s="125"/>
    </row>
    <row r="15" spans="1:48" ht="6" customHeight="1">
      <c r="A15" s="263"/>
      <c r="B15" s="648"/>
      <c r="C15" s="649"/>
      <c r="D15" s="649"/>
      <c r="E15" s="649"/>
      <c r="F15" s="649"/>
      <c r="G15" s="649"/>
      <c r="H15" s="650"/>
      <c r="I15" s="855"/>
      <c r="J15" s="688"/>
      <c r="K15" s="689"/>
      <c r="L15" s="681"/>
      <c r="M15" s="682"/>
      <c r="N15" s="690"/>
      <c r="O15" s="427">
        <f t="shared" si="0"/>
        <v>0</v>
      </c>
      <c r="P15" s="113">
        <f t="shared" si="1"/>
        <v>0</v>
      </c>
      <c r="AC15" s="298"/>
      <c r="AD15" s="298"/>
      <c r="AE15" s="298"/>
      <c r="AF15" s="298"/>
      <c r="AG15" s="298"/>
      <c r="AH15" s="298"/>
      <c r="AI15" s="299"/>
      <c r="AJ15" s="299"/>
      <c r="AK15" s="295"/>
      <c r="AL15" s="300"/>
      <c r="AM15" s="295"/>
      <c r="AN15" s="298"/>
      <c r="AO15" s="295"/>
      <c r="AP15" s="125"/>
    </row>
    <row r="16" spans="1:48" ht="6" customHeight="1">
      <c r="A16" s="263"/>
      <c r="B16" s="677" t="s">
        <v>2670</v>
      </c>
      <c r="C16" s="643"/>
      <c r="D16" s="643"/>
      <c r="E16" s="643"/>
      <c r="F16" s="643"/>
      <c r="G16" s="643"/>
      <c r="H16" s="644"/>
      <c r="I16" s="853">
        <v>1</v>
      </c>
      <c r="J16" s="686" t="s">
        <v>2155</v>
      </c>
      <c r="K16" s="667">
        <v>140</v>
      </c>
      <c r="L16" s="665" t="str">
        <f>IF('из города'!$AG$9=3,"Дол.",IF('из города'!$AG$9=1,"Руб.","Грн."))</f>
        <v>Грн.</v>
      </c>
      <c r="M16" s="663">
        <f>I16*K16</f>
        <v>140</v>
      </c>
      <c r="N16" s="651" t="str">
        <f>IF('из города'!$AG$9=3,"Дол.",IF('из города'!$AG$9=1,"Руб.","Грн."))</f>
        <v>Грн.</v>
      </c>
      <c r="O16" s="427">
        <f t="shared" si="0"/>
        <v>1</v>
      </c>
      <c r="P16" s="113">
        <f t="shared" si="1"/>
        <v>140</v>
      </c>
      <c r="AC16" s="298"/>
      <c r="AD16" s="298"/>
      <c r="AE16" s="298"/>
      <c r="AF16" s="298"/>
      <c r="AG16" s="298"/>
      <c r="AH16" s="298"/>
      <c r="AI16" s="299"/>
      <c r="AJ16" s="299"/>
      <c r="AK16" s="295"/>
      <c r="AL16" s="300"/>
      <c r="AM16" s="295"/>
      <c r="AN16" s="298"/>
      <c r="AO16" s="295"/>
      <c r="AP16" s="125"/>
    </row>
    <row r="17" spans="1:42" ht="6" customHeight="1">
      <c r="A17" s="263"/>
      <c r="B17" s="645"/>
      <c r="C17" s="646"/>
      <c r="D17" s="646"/>
      <c r="E17" s="646"/>
      <c r="F17" s="646"/>
      <c r="G17" s="646"/>
      <c r="H17" s="647"/>
      <c r="I17" s="857"/>
      <c r="J17" s="687"/>
      <c r="K17" s="668"/>
      <c r="L17" s="666"/>
      <c r="M17" s="664"/>
      <c r="N17" s="652"/>
      <c r="O17" s="427">
        <f t="shared" si="0"/>
        <v>0</v>
      </c>
      <c r="P17" s="113">
        <f t="shared" si="1"/>
        <v>0</v>
      </c>
      <c r="AC17" s="298"/>
      <c r="AD17" s="298"/>
      <c r="AE17" s="298"/>
      <c r="AF17" s="298"/>
      <c r="AG17" s="298"/>
      <c r="AH17" s="298"/>
      <c r="AI17" s="299"/>
      <c r="AJ17" s="299"/>
      <c r="AK17" s="295"/>
      <c r="AL17" s="300"/>
      <c r="AM17" s="295"/>
      <c r="AN17" s="298"/>
      <c r="AO17" s="295"/>
      <c r="AP17" s="125"/>
    </row>
    <row r="18" spans="1:42" ht="6" customHeight="1">
      <c r="A18" s="263"/>
      <c r="B18" s="648"/>
      <c r="C18" s="649"/>
      <c r="D18" s="649"/>
      <c r="E18" s="649"/>
      <c r="F18" s="649"/>
      <c r="G18" s="649"/>
      <c r="H18" s="650"/>
      <c r="I18" s="858"/>
      <c r="J18" s="688"/>
      <c r="K18" s="689"/>
      <c r="L18" s="681"/>
      <c r="M18" s="682"/>
      <c r="N18" s="690"/>
      <c r="O18" s="427">
        <f t="shared" si="0"/>
        <v>0</v>
      </c>
      <c r="P18" s="113">
        <f t="shared" si="1"/>
        <v>0</v>
      </c>
      <c r="AC18" s="298"/>
      <c r="AD18" s="298"/>
      <c r="AE18" s="298"/>
      <c r="AF18" s="298"/>
      <c r="AG18" s="298"/>
      <c r="AH18" s="298"/>
      <c r="AI18" s="299"/>
      <c r="AJ18" s="299"/>
      <c r="AK18" s="295"/>
      <c r="AL18" s="300"/>
      <c r="AM18" s="295"/>
      <c r="AN18" s="298"/>
      <c r="AO18" s="295"/>
      <c r="AP18" s="125"/>
    </row>
    <row r="19" spans="1:42" ht="6" customHeight="1">
      <c r="A19" s="263"/>
      <c r="B19" s="677" t="s">
        <v>2671</v>
      </c>
      <c r="C19" s="643"/>
      <c r="D19" s="643"/>
      <c r="E19" s="643"/>
      <c r="F19" s="643"/>
      <c r="G19" s="643"/>
      <c r="H19" s="644"/>
      <c r="I19" s="746">
        <v>1</v>
      </c>
      <c r="J19" s="686" t="s">
        <v>13</v>
      </c>
      <c r="K19" s="667">
        <v>7</v>
      </c>
      <c r="L19" s="665" t="str">
        <f>IF('из города'!$AG$9=3,"Дол.",IF('из города'!$AG$9=1,"Руб.","Грн."))</f>
        <v>Грн.</v>
      </c>
      <c r="M19" s="663">
        <f>I19*K19</f>
        <v>7</v>
      </c>
      <c r="N19" s="651" t="str">
        <f>IF('из города'!$AG$9=3,"Дол.",IF('из города'!$AG$9=1,"Руб.","Грн."))</f>
        <v>Грн.</v>
      </c>
      <c r="O19" s="427">
        <f t="shared" si="0"/>
        <v>1</v>
      </c>
      <c r="P19" s="113">
        <f t="shared" si="1"/>
        <v>7</v>
      </c>
      <c r="AC19" s="298"/>
      <c r="AD19" s="298"/>
      <c r="AE19" s="298"/>
      <c r="AF19" s="298"/>
      <c r="AG19" s="298"/>
      <c r="AH19" s="298"/>
      <c r="AI19" s="299"/>
      <c r="AJ19" s="299"/>
      <c r="AK19" s="295"/>
      <c r="AL19" s="300"/>
      <c r="AM19" s="295"/>
      <c r="AN19" s="298"/>
      <c r="AO19" s="295"/>
      <c r="AP19" s="125"/>
    </row>
    <row r="20" spans="1:42" ht="6" customHeight="1">
      <c r="A20" s="263"/>
      <c r="B20" s="645"/>
      <c r="C20" s="646"/>
      <c r="D20" s="646"/>
      <c r="E20" s="646"/>
      <c r="F20" s="646"/>
      <c r="G20" s="646"/>
      <c r="H20" s="647"/>
      <c r="I20" s="668"/>
      <c r="J20" s="687"/>
      <c r="K20" s="668"/>
      <c r="L20" s="666"/>
      <c r="M20" s="664"/>
      <c r="N20" s="652"/>
      <c r="O20" s="427">
        <f t="shared" si="0"/>
        <v>0</v>
      </c>
      <c r="P20" s="113">
        <f t="shared" si="1"/>
        <v>0</v>
      </c>
      <c r="AC20" s="298"/>
      <c r="AD20" s="298"/>
      <c r="AE20" s="298"/>
      <c r="AF20" s="298"/>
      <c r="AG20" s="298"/>
      <c r="AH20" s="298"/>
      <c r="AI20" s="299"/>
      <c r="AJ20" s="299"/>
      <c r="AK20" s="295"/>
      <c r="AL20" s="300"/>
      <c r="AM20" s="295"/>
      <c r="AN20" s="298"/>
      <c r="AO20" s="295"/>
      <c r="AP20" s="125"/>
    </row>
    <row r="21" spans="1:42" ht="6" customHeight="1">
      <c r="A21" s="263"/>
      <c r="B21" s="648"/>
      <c r="C21" s="649"/>
      <c r="D21" s="649"/>
      <c r="E21" s="649"/>
      <c r="F21" s="649"/>
      <c r="G21" s="649"/>
      <c r="H21" s="650"/>
      <c r="I21" s="689"/>
      <c r="J21" s="688"/>
      <c r="K21" s="689"/>
      <c r="L21" s="681"/>
      <c r="M21" s="682"/>
      <c r="N21" s="690"/>
      <c r="O21" s="427">
        <f t="shared" si="0"/>
        <v>0</v>
      </c>
      <c r="P21" s="113">
        <f t="shared" si="1"/>
        <v>0</v>
      </c>
      <c r="AC21" s="298"/>
      <c r="AD21" s="298"/>
      <c r="AE21" s="298"/>
      <c r="AF21" s="298"/>
      <c r="AG21" s="298"/>
      <c r="AH21" s="298"/>
      <c r="AI21" s="299"/>
      <c r="AJ21" s="299"/>
      <c r="AK21" s="295"/>
      <c r="AL21" s="300"/>
      <c r="AM21" s="295"/>
      <c r="AN21" s="298"/>
      <c r="AO21" s="295"/>
      <c r="AP21" s="125"/>
    </row>
    <row r="22" spans="1:42" ht="6" customHeight="1">
      <c r="A22" s="263"/>
      <c r="B22" s="677" t="s">
        <v>2672</v>
      </c>
      <c r="C22" s="643"/>
      <c r="D22" s="643"/>
      <c r="E22" s="643"/>
      <c r="F22" s="643"/>
      <c r="G22" s="643"/>
      <c r="H22" s="644"/>
      <c r="I22" s="659">
        <v>1</v>
      </c>
      <c r="J22" s="686" t="s">
        <v>13</v>
      </c>
      <c r="K22" s="667">
        <v>15</v>
      </c>
      <c r="L22" s="665" t="str">
        <f>IF('из города'!$AG$9=3,"Дол.",IF('из города'!$AG$9=1,"Руб.","Грн."))</f>
        <v>Грн.</v>
      </c>
      <c r="M22" s="663">
        <f>I22*K22</f>
        <v>15</v>
      </c>
      <c r="N22" s="651" t="str">
        <f>IF('из города'!$AG$9=3,"Дол.",IF('из города'!$AG$9=1,"Руб.","Грн."))</f>
        <v>Грн.</v>
      </c>
      <c r="O22" s="427">
        <f t="shared" si="0"/>
        <v>1</v>
      </c>
      <c r="P22" s="113">
        <f t="shared" si="1"/>
        <v>15</v>
      </c>
      <c r="AC22" s="298"/>
      <c r="AD22" s="298"/>
      <c r="AE22" s="298"/>
      <c r="AF22" s="298"/>
      <c r="AG22" s="298"/>
      <c r="AH22" s="298"/>
      <c r="AI22" s="299"/>
      <c r="AJ22" s="299"/>
      <c r="AK22" s="295"/>
      <c r="AL22" s="300"/>
      <c r="AM22" s="295"/>
      <c r="AN22" s="298"/>
      <c r="AO22" s="295"/>
      <c r="AP22" s="125"/>
    </row>
    <row r="23" spans="1:42" ht="6" customHeight="1">
      <c r="A23" s="263"/>
      <c r="B23" s="645"/>
      <c r="C23" s="646"/>
      <c r="D23" s="646"/>
      <c r="E23" s="646"/>
      <c r="F23" s="646"/>
      <c r="G23" s="646"/>
      <c r="H23" s="647"/>
      <c r="I23" s="851"/>
      <c r="J23" s="687"/>
      <c r="K23" s="668"/>
      <c r="L23" s="666"/>
      <c r="M23" s="664"/>
      <c r="N23" s="652"/>
      <c r="O23" s="427">
        <f t="shared" si="0"/>
        <v>0</v>
      </c>
      <c r="P23" s="113">
        <f t="shared" si="1"/>
        <v>0</v>
      </c>
      <c r="AC23" s="298"/>
      <c r="AD23" s="298"/>
      <c r="AE23" s="298"/>
      <c r="AF23" s="298"/>
      <c r="AG23" s="298"/>
      <c r="AH23" s="298"/>
      <c r="AI23" s="299"/>
      <c r="AJ23" s="299"/>
      <c r="AK23" s="295"/>
      <c r="AL23" s="300"/>
      <c r="AM23" s="295"/>
      <c r="AN23" s="298"/>
      <c r="AO23" s="295"/>
      <c r="AP23" s="125"/>
    </row>
    <row r="24" spans="1:42" ht="6" customHeight="1">
      <c r="A24" s="263"/>
      <c r="B24" s="648"/>
      <c r="C24" s="649"/>
      <c r="D24" s="649"/>
      <c r="E24" s="649"/>
      <c r="F24" s="649"/>
      <c r="G24" s="649"/>
      <c r="H24" s="650"/>
      <c r="I24" s="852"/>
      <c r="J24" s="688"/>
      <c r="K24" s="689"/>
      <c r="L24" s="681"/>
      <c r="M24" s="682"/>
      <c r="N24" s="690"/>
      <c r="O24" s="427">
        <f t="shared" si="0"/>
        <v>0</v>
      </c>
      <c r="P24" s="113">
        <f t="shared" si="1"/>
        <v>0</v>
      </c>
      <c r="AC24" s="298"/>
      <c r="AD24" s="298"/>
      <c r="AE24" s="298"/>
      <c r="AF24" s="298"/>
      <c r="AG24" s="298"/>
      <c r="AH24" s="298"/>
      <c r="AI24" s="299"/>
      <c r="AJ24" s="299"/>
      <c r="AK24" s="295"/>
      <c r="AL24" s="300"/>
      <c r="AM24" s="295"/>
      <c r="AN24" s="298"/>
      <c r="AO24" s="295"/>
      <c r="AP24" s="125"/>
    </row>
    <row r="25" spans="1:42" ht="6" customHeight="1">
      <c r="A25" s="263"/>
      <c r="B25" s="677" t="s">
        <v>2673</v>
      </c>
      <c r="C25" s="643"/>
      <c r="D25" s="643"/>
      <c r="E25" s="643"/>
      <c r="F25" s="643"/>
      <c r="G25" s="643"/>
      <c r="H25" s="644"/>
      <c r="I25" s="846">
        <v>1</v>
      </c>
      <c r="J25" s="686" t="s">
        <v>2155</v>
      </c>
      <c r="K25" s="667">
        <v>140</v>
      </c>
      <c r="L25" s="665" t="str">
        <f>IF('из города'!$AG$9=3,"Дол.",IF('из города'!$AG$9=1,"Руб.","Грн."))</f>
        <v>Грн.</v>
      </c>
      <c r="M25" s="663">
        <f>I25*K25</f>
        <v>140</v>
      </c>
      <c r="N25" s="651" t="str">
        <f>IF('из города'!$AG$9=3,"Дол.",IF('из города'!$AG$9=1,"Руб.","Грн."))</f>
        <v>Грн.</v>
      </c>
      <c r="O25" s="427">
        <f t="shared" si="0"/>
        <v>1</v>
      </c>
      <c r="P25" s="113">
        <f t="shared" si="1"/>
        <v>140</v>
      </c>
      <c r="AC25" s="298"/>
      <c r="AD25" s="298"/>
      <c r="AE25" s="298"/>
      <c r="AF25" s="298"/>
      <c r="AG25" s="298"/>
      <c r="AH25" s="298"/>
      <c r="AI25" s="299"/>
      <c r="AJ25" s="299"/>
      <c r="AK25" s="295"/>
      <c r="AL25" s="300"/>
      <c r="AM25" s="295"/>
      <c r="AN25" s="298"/>
      <c r="AO25" s="295"/>
      <c r="AP25" s="125"/>
    </row>
    <row r="26" spans="1:42" ht="6" customHeight="1">
      <c r="A26" s="263"/>
      <c r="B26" s="645"/>
      <c r="C26" s="646"/>
      <c r="D26" s="646"/>
      <c r="E26" s="646"/>
      <c r="F26" s="646"/>
      <c r="G26" s="646"/>
      <c r="H26" s="647"/>
      <c r="I26" s="846"/>
      <c r="J26" s="687"/>
      <c r="K26" s="668"/>
      <c r="L26" s="666"/>
      <c r="M26" s="664"/>
      <c r="N26" s="652"/>
      <c r="O26" s="427">
        <f t="shared" si="0"/>
        <v>0</v>
      </c>
      <c r="P26" s="113">
        <f t="shared" si="1"/>
        <v>0</v>
      </c>
      <c r="AC26" s="298"/>
      <c r="AD26" s="298"/>
      <c r="AE26" s="298"/>
      <c r="AF26" s="298"/>
      <c r="AG26" s="298"/>
      <c r="AH26" s="298"/>
      <c r="AI26" s="299"/>
      <c r="AJ26" s="299"/>
      <c r="AK26" s="295"/>
      <c r="AL26" s="300"/>
      <c r="AM26" s="295"/>
      <c r="AN26" s="298"/>
      <c r="AO26" s="295"/>
      <c r="AP26" s="125"/>
    </row>
    <row r="27" spans="1:42" ht="6" customHeight="1">
      <c r="A27" s="263"/>
      <c r="B27" s="648"/>
      <c r="C27" s="649"/>
      <c r="D27" s="649"/>
      <c r="E27" s="649"/>
      <c r="F27" s="649"/>
      <c r="G27" s="649"/>
      <c r="H27" s="650"/>
      <c r="I27" s="847"/>
      <c r="J27" s="688"/>
      <c r="K27" s="689"/>
      <c r="L27" s="681"/>
      <c r="M27" s="682"/>
      <c r="N27" s="690"/>
      <c r="O27" s="427">
        <f t="shared" si="0"/>
        <v>0</v>
      </c>
      <c r="P27" s="113">
        <f t="shared" si="1"/>
        <v>0</v>
      </c>
      <c r="AC27" s="298"/>
      <c r="AD27" s="298"/>
      <c r="AE27" s="298"/>
      <c r="AF27" s="298"/>
      <c r="AG27" s="298"/>
      <c r="AH27" s="298"/>
      <c r="AI27" s="299"/>
      <c r="AJ27" s="299"/>
      <c r="AK27" s="295"/>
      <c r="AL27" s="300"/>
      <c r="AM27" s="295"/>
      <c r="AN27" s="298"/>
      <c r="AO27" s="295"/>
      <c r="AP27" s="125"/>
    </row>
    <row r="28" spans="1:42" ht="6" customHeight="1">
      <c r="A28" s="263"/>
      <c r="B28" s="677" t="s">
        <v>2679</v>
      </c>
      <c r="C28" s="643"/>
      <c r="D28" s="643"/>
      <c r="E28" s="643"/>
      <c r="F28" s="643"/>
      <c r="G28" s="643"/>
      <c r="H28" s="644"/>
      <c r="I28" s="846">
        <v>1</v>
      </c>
      <c r="J28" s="686" t="s">
        <v>2155</v>
      </c>
      <c r="K28" s="667">
        <v>140</v>
      </c>
      <c r="L28" s="665" t="str">
        <f>IF('из города'!$AG$9=3,"Дол.",IF('из города'!$AG$9=1,"Руб.","Грн."))</f>
        <v>Грн.</v>
      </c>
      <c r="M28" s="663">
        <f>I28*K28</f>
        <v>140</v>
      </c>
      <c r="N28" s="651" t="str">
        <f>IF('из города'!$AG$9=3,"Дол.",IF('из города'!$AG$9=1,"Руб.","Грн."))</f>
        <v>Грн.</v>
      </c>
      <c r="O28" s="427">
        <f t="shared" si="0"/>
        <v>1</v>
      </c>
      <c r="P28" s="113">
        <f t="shared" si="1"/>
        <v>140</v>
      </c>
      <c r="AC28" s="298"/>
      <c r="AD28" s="298"/>
      <c r="AE28" s="298"/>
      <c r="AF28" s="298"/>
      <c r="AG28" s="298"/>
      <c r="AH28" s="298"/>
      <c r="AI28" s="299"/>
      <c r="AJ28" s="299"/>
      <c r="AK28" s="295"/>
      <c r="AL28" s="300"/>
      <c r="AM28" s="295"/>
      <c r="AN28" s="298"/>
      <c r="AO28" s="295"/>
      <c r="AP28" s="125"/>
    </row>
    <row r="29" spans="1:42" ht="6" customHeight="1">
      <c r="A29" s="263"/>
      <c r="B29" s="645"/>
      <c r="C29" s="646"/>
      <c r="D29" s="646"/>
      <c r="E29" s="646"/>
      <c r="F29" s="646"/>
      <c r="G29" s="646"/>
      <c r="H29" s="647"/>
      <c r="I29" s="846"/>
      <c r="J29" s="687"/>
      <c r="K29" s="668"/>
      <c r="L29" s="666"/>
      <c r="M29" s="664"/>
      <c r="N29" s="652"/>
      <c r="O29" s="427">
        <f t="shared" si="0"/>
        <v>0</v>
      </c>
      <c r="P29" s="113">
        <f t="shared" si="1"/>
        <v>0</v>
      </c>
      <c r="AC29" s="298"/>
      <c r="AD29" s="298"/>
      <c r="AE29" s="298"/>
      <c r="AF29" s="298"/>
      <c r="AG29" s="298"/>
      <c r="AH29" s="298"/>
      <c r="AI29" s="299"/>
      <c r="AJ29" s="299"/>
      <c r="AK29" s="295"/>
      <c r="AL29" s="300"/>
      <c r="AM29" s="295"/>
      <c r="AN29" s="298"/>
      <c r="AO29" s="295"/>
      <c r="AP29" s="125"/>
    </row>
    <row r="30" spans="1:42" ht="6" customHeight="1">
      <c r="A30" s="263"/>
      <c r="B30" s="648"/>
      <c r="C30" s="649"/>
      <c r="D30" s="649"/>
      <c r="E30" s="649"/>
      <c r="F30" s="649"/>
      <c r="G30" s="649"/>
      <c r="H30" s="650"/>
      <c r="I30" s="847"/>
      <c r="J30" s="688"/>
      <c r="K30" s="689"/>
      <c r="L30" s="681"/>
      <c r="M30" s="682"/>
      <c r="N30" s="690"/>
      <c r="O30" s="427">
        <f t="shared" si="0"/>
        <v>0</v>
      </c>
      <c r="P30" s="113">
        <f t="shared" si="1"/>
        <v>0</v>
      </c>
      <c r="AC30" s="302"/>
      <c r="AD30" s="309"/>
      <c r="AE30" s="309"/>
      <c r="AF30" s="309"/>
      <c r="AG30" s="309"/>
      <c r="AH30" s="309"/>
      <c r="AI30" s="299"/>
      <c r="AJ30" s="299"/>
      <c r="AK30" s="295"/>
      <c r="AL30" s="300"/>
      <c r="AM30" s="295"/>
      <c r="AN30" s="298"/>
      <c r="AO30" s="295"/>
      <c r="AP30" s="125"/>
    </row>
    <row r="31" spans="1:42" ht="6" customHeight="1">
      <c r="A31" s="263"/>
      <c r="B31" s="645" t="s">
        <v>2746</v>
      </c>
      <c r="C31" s="646"/>
      <c r="D31" s="646"/>
      <c r="E31" s="646"/>
      <c r="F31" s="646"/>
      <c r="G31" s="646"/>
      <c r="H31" s="647"/>
      <c r="I31" s="746">
        <v>1</v>
      </c>
      <c r="J31" s="686" t="s">
        <v>2108</v>
      </c>
      <c r="K31" s="667">
        <v>300</v>
      </c>
      <c r="L31" s="665" t="str">
        <f>IF('из города'!$AG$9=3,"Дол.",IF('из города'!$AG$9=1,"Руб.","Грн."))</f>
        <v>Грн.</v>
      </c>
      <c r="M31" s="663">
        <f>I31*K31</f>
        <v>300</v>
      </c>
      <c r="N31" s="651" t="str">
        <f>IF('из города'!$AG$9=3,"Дол.",IF('из города'!$AG$9=1,"Руб.","Грн."))</f>
        <v>Грн.</v>
      </c>
      <c r="O31" s="427">
        <f t="shared" si="0"/>
        <v>1</v>
      </c>
      <c r="P31" s="113">
        <f t="shared" si="1"/>
        <v>300</v>
      </c>
      <c r="AC31" s="309"/>
      <c r="AD31" s="309"/>
      <c r="AE31" s="309"/>
      <c r="AF31" s="309"/>
      <c r="AG31" s="309"/>
      <c r="AH31" s="309"/>
      <c r="AI31" s="299"/>
      <c r="AJ31" s="299"/>
      <c r="AK31" s="295"/>
      <c r="AL31" s="300"/>
      <c r="AM31" s="295"/>
      <c r="AN31" s="298"/>
      <c r="AO31" s="295"/>
      <c r="AP31" s="125"/>
    </row>
    <row r="32" spans="1:42" ht="6" customHeight="1">
      <c r="A32" s="263"/>
      <c r="B32" s="645"/>
      <c r="C32" s="646"/>
      <c r="D32" s="646"/>
      <c r="E32" s="646"/>
      <c r="F32" s="646"/>
      <c r="G32" s="646"/>
      <c r="H32" s="647"/>
      <c r="I32" s="668"/>
      <c r="J32" s="687"/>
      <c r="K32" s="668"/>
      <c r="L32" s="666"/>
      <c r="M32" s="664"/>
      <c r="N32" s="652"/>
      <c r="O32" s="427">
        <f t="shared" si="0"/>
        <v>0</v>
      </c>
      <c r="P32" s="113">
        <f t="shared" si="1"/>
        <v>0</v>
      </c>
      <c r="AC32" s="309"/>
      <c r="AD32" s="309"/>
      <c r="AE32" s="309"/>
      <c r="AF32" s="309"/>
      <c r="AG32" s="309"/>
      <c r="AH32" s="309"/>
      <c r="AI32" s="299"/>
      <c r="AJ32" s="299"/>
      <c r="AK32" s="295"/>
      <c r="AL32" s="300"/>
      <c r="AM32" s="295"/>
      <c r="AN32" s="298"/>
      <c r="AO32" s="295"/>
      <c r="AP32" s="125"/>
    </row>
    <row r="33" spans="1:42" ht="6" customHeight="1">
      <c r="A33" s="263"/>
      <c r="B33" s="648"/>
      <c r="C33" s="649"/>
      <c r="D33" s="649"/>
      <c r="E33" s="649"/>
      <c r="F33" s="649"/>
      <c r="G33" s="649"/>
      <c r="H33" s="650"/>
      <c r="I33" s="689"/>
      <c r="J33" s="688"/>
      <c r="K33" s="689"/>
      <c r="L33" s="681"/>
      <c r="M33" s="682"/>
      <c r="N33" s="690"/>
      <c r="O33" s="427">
        <f t="shared" si="0"/>
        <v>0</v>
      </c>
      <c r="P33" s="113">
        <f t="shared" si="1"/>
        <v>0</v>
      </c>
      <c r="AC33" s="302"/>
      <c r="AD33" s="302"/>
      <c r="AE33" s="302"/>
      <c r="AF33" s="302"/>
      <c r="AG33" s="302"/>
      <c r="AH33" s="302"/>
      <c r="AI33" s="299"/>
      <c r="AJ33" s="299"/>
      <c r="AK33" s="295"/>
      <c r="AL33" s="300"/>
      <c r="AM33" s="295"/>
      <c r="AN33" s="298"/>
      <c r="AO33" s="295"/>
      <c r="AP33" s="125"/>
    </row>
    <row r="34" spans="1:42" ht="6" customHeight="1">
      <c r="A34" s="263"/>
      <c r="B34" s="645" t="s">
        <v>2705</v>
      </c>
      <c r="C34" s="646"/>
      <c r="D34" s="646"/>
      <c r="E34" s="646"/>
      <c r="F34" s="646"/>
      <c r="G34" s="646"/>
      <c r="H34" s="647"/>
      <c r="I34" s="746">
        <v>1</v>
      </c>
      <c r="J34" s="686" t="s">
        <v>2155</v>
      </c>
      <c r="K34" s="667">
        <v>100</v>
      </c>
      <c r="L34" s="665" t="str">
        <f>IF('из города'!$AG$9=3,"Дол.",IF('из города'!$AG$9=1,"Руб.","Грн."))</f>
        <v>Грн.</v>
      </c>
      <c r="M34" s="694">
        <f>I34*K34</f>
        <v>100</v>
      </c>
      <c r="N34" s="651" t="str">
        <f>IF('из города'!$AG$9=3,"Дол.",IF('из города'!$AG$9=1,"Руб.","Грн."))</f>
        <v>Грн.</v>
      </c>
      <c r="O34" s="427">
        <f t="shared" si="0"/>
        <v>1</v>
      </c>
      <c r="P34" s="113">
        <f t="shared" si="1"/>
        <v>100</v>
      </c>
      <c r="AC34" s="310"/>
      <c r="AD34" s="310"/>
      <c r="AE34" s="310"/>
      <c r="AF34" s="310"/>
      <c r="AG34" s="310"/>
      <c r="AH34" s="310"/>
      <c r="AI34" s="304"/>
      <c r="AJ34" s="304"/>
      <c r="AK34" s="305"/>
      <c r="AL34" s="300"/>
      <c r="AM34" s="295"/>
      <c r="AN34" s="306"/>
      <c r="AO34" s="295"/>
      <c r="AP34" s="125"/>
    </row>
    <row r="35" spans="1:42" ht="6" customHeight="1">
      <c r="A35" s="263"/>
      <c r="B35" s="645"/>
      <c r="C35" s="646"/>
      <c r="D35" s="646"/>
      <c r="E35" s="646"/>
      <c r="F35" s="646"/>
      <c r="G35" s="646"/>
      <c r="H35" s="647"/>
      <c r="I35" s="668"/>
      <c r="J35" s="687"/>
      <c r="K35" s="668"/>
      <c r="L35" s="666"/>
      <c r="M35" s="695"/>
      <c r="N35" s="652"/>
      <c r="O35" s="427">
        <f t="shared" si="0"/>
        <v>0</v>
      </c>
      <c r="P35" s="113">
        <f t="shared" si="1"/>
        <v>0</v>
      </c>
      <c r="AC35" s="310"/>
      <c r="AD35" s="310"/>
      <c r="AE35" s="310"/>
      <c r="AF35" s="310"/>
      <c r="AG35" s="310"/>
      <c r="AH35" s="310"/>
      <c r="AI35" s="304"/>
      <c r="AJ35" s="304"/>
      <c r="AK35" s="305"/>
      <c r="AL35" s="300"/>
      <c r="AM35" s="295"/>
      <c r="AN35" s="306"/>
      <c r="AO35" s="295"/>
      <c r="AP35" s="125"/>
    </row>
    <row r="36" spans="1:42" ht="6" customHeight="1">
      <c r="A36" s="263"/>
      <c r="B36" s="648"/>
      <c r="C36" s="649"/>
      <c r="D36" s="649"/>
      <c r="E36" s="649"/>
      <c r="F36" s="649"/>
      <c r="G36" s="649"/>
      <c r="H36" s="650"/>
      <c r="I36" s="689"/>
      <c r="J36" s="688"/>
      <c r="K36" s="689"/>
      <c r="L36" s="681"/>
      <c r="M36" s="696"/>
      <c r="N36" s="690"/>
      <c r="O36" s="427">
        <f t="shared" si="0"/>
        <v>0</v>
      </c>
      <c r="P36" s="113">
        <f t="shared" si="1"/>
        <v>0</v>
      </c>
      <c r="AC36" s="310"/>
      <c r="AD36" s="310"/>
      <c r="AE36" s="310"/>
      <c r="AF36" s="310"/>
      <c r="AG36" s="310"/>
      <c r="AH36" s="310"/>
      <c r="AI36" s="304"/>
      <c r="AJ36" s="304"/>
      <c r="AK36" s="305"/>
      <c r="AL36" s="300"/>
      <c r="AM36" s="295"/>
      <c r="AN36" s="306"/>
      <c r="AO36" s="295"/>
      <c r="AP36" s="125"/>
    </row>
    <row r="37" spans="1:42" ht="6" customHeight="1">
      <c r="A37" s="263"/>
      <c r="B37" s="653" t="s">
        <v>2113</v>
      </c>
      <c r="C37" s="654"/>
      <c r="D37" s="654"/>
      <c r="E37" s="654"/>
      <c r="F37" s="654"/>
      <c r="G37" s="654"/>
      <c r="H37" s="655"/>
      <c r="I37" s="659">
        <v>0</v>
      </c>
      <c r="J37" s="661" t="s">
        <v>2659</v>
      </c>
      <c r="K37" s="667">
        <v>0</v>
      </c>
      <c r="L37" s="665" t="str">
        <f>IF('из города'!$AG$9=3,"Дол.",IF('из города'!$AG$9=1,"Руб.","Грн."))</f>
        <v>Грн.</v>
      </c>
      <c r="M37" s="694">
        <f>I37*K37</f>
        <v>0</v>
      </c>
      <c r="N37" s="651" t="str">
        <f>IF('из города'!$AG$9=3,"Дол.",IF('из города'!$AG$9=1,"Руб.","Грн."))</f>
        <v>Грн.</v>
      </c>
      <c r="O37" s="427">
        <f t="shared" si="0"/>
        <v>0</v>
      </c>
      <c r="P37" s="113">
        <f t="shared" si="1"/>
        <v>0</v>
      </c>
      <c r="AC37" s="310"/>
      <c r="AD37" s="310"/>
      <c r="AE37" s="310"/>
      <c r="AF37" s="310"/>
      <c r="AG37" s="310"/>
      <c r="AH37" s="310"/>
      <c r="AI37" s="304"/>
      <c r="AJ37" s="304"/>
      <c r="AK37" s="305"/>
      <c r="AL37" s="300"/>
      <c r="AM37" s="295"/>
      <c r="AN37" s="306"/>
      <c r="AO37" s="295"/>
      <c r="AP37" s="125"/>
    </row>
    <row r="38" spans="1:42" ht="6" customHeight="1">
      <c r="A38" s="263"/>
      <c r="B38" s="656"/>
      <c r="C38" s="657"/>
      <c r="D38" s="657"/>
      <c r="E38" s="657"/>
      <c r="F38" s="657"/>
      <c r="G38" s="657"/>
      <c r="H38" s="658"/>
      <c r="I38" s="746"/>
      <c r="J38" s="662"/>
      <c r="K38" s="668"/>
      <c r="L38" s="666"/>
      <c r="M38" s="695"/>
      <c r="N38" s="652"/>
      <c r="O38" s="427">
        <f t="shared" si="0"/>
        <v>0</v>
      </c>
      <c r="P38" s="113">
        <f t="shared" si="1"/>
        <v>0</v>
      </c>
      <c r="AC38" s="310"/>
      <c r="AD38" s="310"/>
      <c r="AE38" s="310"/>
      <c r="AF38" s="310"/>
      <c r="AG38" s="310"/>
      <c r="AH38" s="310"/>
      <c r="AI38" s="304"/>
      <c r="AJ38" s="304"/>
      <c r="AK38" s="305"/>
      <c r="AL38" s="300"/>
      <c r="AM38" s="295"/>
      <c r="AN38" s="306"/>
      <c r="AO38" s="295"/>
      <c r="AP38" s="125"/>
    </row>
    <row r="39" spans="1:42" ht="6" customHeight="1">
      <c r="A39" s="263"/>
      <c r="B39" s="700"/>
      <c r="C39" s="701"/>
      <c r="D39" s="701"/>
      <c r="E39" s="701"/>
      <c r="F39" s="701"/>
      <c r="G39" s="701"/>
      <c r="H39" s="702"/>
      <c r="I39" s="660"/>
      <c r="J39" s="703"/>
      <c r="K39" s="689"/>
      <c r="L39" s="681"/>
      <c r="M39" s="696"/>
      <c r="N39" s="690"/>
      <c r="O39" s="427">
        <f t="shared" si="0"/>
        <v>0</v>
      </c>
      <c r="P39" s="113">
        <f t="shared" si="1"/>
        <v>0</v>
      </c>
      <c r="AC39" s="310"/>
      <c r="AD39" s="310"/>
      <c r="AE39" s="310"/>
      <c r="AF39" s="310"/>
      <c r="AG39" s="310"/>
      <c r="AH39" s="310"/>
      <c r="AI39" s="304"/>
      <c r="AJ39" s="304"/>
      <c r="AK39" s="305"/>
      <c r="AL39" s="300"/>
      <c r="AM39" s="295"/>
      <c r="AN39" s="306"/>
      <c r="AO39" s="295"/>
      <c r="AP39" s="125"/>
    </row>
    <row r="40" spans="1:42" ht="6" customHeight="1">
      <c r="A40" s="263"/>
      <c r="B40" s="653" t="s">
        <v>2113</v>
      </c>
      <c r="C40" s="654"/>
      <c r="D40" s="654"/>
      <c r="E40" s="654"/>
      <c r="F40" s="654"/>
      <c r="G40" s="654"/>
      <c r="H40" s="655"/>
      <c r="I40" s="659">
        <v>0</v>
      </c>
      <c r="J40" s="661" t="s">
        <v>2659</v>
      </c>
      <c r="K40" s="667">
        <v>0</v>
      </c>
      <c r="L40" s="665" t="str">
        <f>IF('из города'!$AG$9=3,"Дол.",IF('из города'!$AG$9=1,"Руб.","Грн."))</f>
        <v>Грн.</v>
      </c>
      <c r="M40" s="694">
        <f>I40*K40</f>
        <v>0</v>
      </c>
      <c r="N40" s="651" t="str">
        <f>IF('из города'!$AG$9=3,"Дол.",IF('из города'!$AG$9=1,"Руб.","Грн."))</f>
        <v>Грн.</v>
      </c>
      <c r="O40" s="427">
        <f t="shared" si="0"/>
        <v>0</v>
      </c>
      <c r="P40" s="113">
        <f t="shared" si="1"/>
        <v>0</v>
      </c>
      <c r="AC40" s="310"/>
      <c r="AD40" s="310"/>
      <c r="AE40" s="310"/>
      <c r="AF40" s="310"/>
      <c r="AG40" s="310"/>
      <c r="AH40" s="310"/>
      <c r="AI40" s="304"/>
      <c r="AJ40" s="304"/>
      <c r="AK40" s="305"/>
      <c r="AL40" s="300"/>
      <c r="AM40" s="295"/>
      <c r="AN40" s="306"/>
      <c r="AO40" s="295"/>
      <c r="AP40" s="125"/>
    </row>
    <row r="41" spans="1:42" ht="6" customHeight="1">
      <c r="A41" s="263"/>
      <c r="B41" s="656"/>
      <c r="C41" s="657"/>
      <c r="D41" s="657"/>
      <c r="E41" s="657"/>
      <c r="F41" s="657"/>
      <c r="G41" s="657"/>
      <c r="H41" s="658"/>
      <c r="I41" s="746"/>
      <c r="J41" s="662"/>
      <c r="K41" s="668"/>
      <c r="L41" s="666"/>
      <c r="M41" s="695"/>
      <c r="N41" s="652"/>
      <c r="O41" s="427">
        <f t="shared" si="0"/>
        <v>0</v>
      </c>
      <c r="P41" s="113">
        <f t="shared" si="1"/>
        <v>0</v>
      </c>
      <c r="AC41" s="310"/>
      <c r="AD41" s="310"/>
      <c r="AE41" s="310"/>
      <c r="AF41" s="310"/>
      <c r="AG41" s="310"/>
      <c r="AH41" s="310"/>
      <c r="AI41" s="304"/>
      <c r="AJ41" s="304"/>
      <c r="AK41" s="305"/>
      <c r="AL41" s="300"/>
      <c r="AM41" s="295"/>
      <c r="AN41" s="306"/>
      <c r="AO41" s="295"/>
      <c r="AP41" s="125"/>
    </row>
    <row r="42" spans="1:42" ht="6" customHeight="1">
      <c r="A42" s="263"/>
      <c r="B42" s="700"/>
      <c r="C42" s="701"/>
      <c r="D42" s="701"/>
      <c r="E42" s="701"/>
      <c r="F42" s="701"/>
      <c r="G42" s="701"/>
      <c r="H42" s="702"/>
      <c r="I42" s="660"/>
      <c r="J42" s="703"/>
      <c r="K42" s="689"/>
      <c r="L42" s="681"/>
      <c r="M42" s="696"/>
      <c r="N42" s="690"/>
      <c r="O42" s="427">
        <f t="shared" si="0"/>
        <v>0</v>
      </c>
      <c r="P42" s="113">
        <f t="shared" si="1"/>
        <v>0</v>
      </c>
      <c r="AC42" s="310"/>
      <c r="AD42" s="310"/>
      <c r="AE42" s="310"/>
      <c r="AF42" s="310"/>
      <c r="AG42" s="310"/>
      <c r="AH42" s="310"/>
      <c r="AI42" s="304"/>
      <c r="AJ42" s="304"/>
      <c r="AK42" s="305"/>
      <c r="AL42" s="300"/>
      <c r="AM42" s="295"/>
      <c r="AN42" s="306"/>
      <c r="AO42" s="295"/>
      <c r="AP42" s="125"/>
    </row>
    <row r="43" spans="1:42" ht="6" customHeight="1">
      <c r="A43" s="263"/>
      <c r="B43" s="653" t="s">
        <v>2113</v>
      </c>
      <c r="C43" s="654"/>
      <c r="D43" s="654"/>
      <c r="E43" s="654"/>
      <c r="F43" s="654"/>
      <c r="G43" s="654"/>
      <c r="H43" s="655"/>
      <c r="I43" s="659">
        <v>0</v>
      </c>
      <c r="J43" s="661" t="s">
        <v>2659</v>
      </c>
      <c r="K43" s="667">
        <v>0</v>
      </c>
      <c r="L43" s="665" t="str">
        <f>IF('из города'!$AG$9=3,"Дол.",IF('из города'!$AG$9=1,"Руб.","Грн."))</f>
        <v>Грн.</v>
      </c>
      <c r="M43" s="694">
        <f>I43*K43</f>
        <v>0</v>
      </c>
      <c r="N43" s="651" t="str">
        <f>IF('из города'!$AG$9=3,"Дол.",IF('из города'!$AG$9=1,"Руб.","Грн."))</f>
        <v>Грн.</v>
      </c>
      <c r="O43" s="427">
        <f t="shared" si="0"/>
        <v>0</v>
      </c>
      <c r="P43" s="113">
        <f t="shared" si="1"/>
        <v>0</v>
      </c>
      <c r="AC43" s="310"/>
      <c r="AD43" s="310"/>
      <c r="AE43" s="310"/>
      <c r="AF43" s="310"/>
      <c r="AG43" s="310"/>
      <c r="AH43" s="310"/>
      <c r="AI43" s="304"/>
      <c r="AJ43" s="304"/>
      <c r="AK43" s="305"/>
      <c r="AL43" s="300"/>
      <c r="AM43" s="295"/>
      <c r="AN43" s="306"/>
      <c r="AO43" s="295"/>
      <c r="AP43" s="125"/>
    </row>
    <row r="44" spans="1:42" ht="6" customHeight="1">
      <c r="A44" s="263"/>
      <c r="B44" s="656"/>
      <c r="C44" s="657"/>
      <c r="D44" s="657"/>
      <c r="E44" s="657"/>
      <c r="F44" s="657"/>
      <c r="G44" s="657"/>
      <c r="H44" s="658"/>
      <c r="I44" s="746"/>
      <c r="J44" s="662"/>
      <c r="K44" s="668"/>
      <c r="L44" s="666"/>
      <c r="M44" s="695"/>
      <c r="N44" s="652"/>
      <c r="O44" s="427">
        <f t="shared" si="0"/>
        <v>0</v>
      </c>
      <c r="P44" s="113">
        <f t="shared" si="1"/>
        <v>0</v>
      </c>
      <c r="AC44" s="310"/>
      <c r="AD44" s="310"/>
      <c r="AE44" s="310"/>
      <c r="AF44" s="310"/>
      <c r="AG44" s="310"/>
      <c r="AH44" s="310"/>
      <c r="AI44" s="304"/>
      <c r="AJ44" s="304"/>
      <c r="AK44" s="305"/>
      <c r="AL44" s="300"/>
      <c r="AM44" s="295"/>
      <c r="AN44" s="306"/>
      <c r="AO44" s="295"/>
      <c r="AP44" s="125"/>
    </row>
    <row r="45" spans="1:42" ht="6" customHeight="1">
      <c r="A45" s="263"/>
      <c r="B45" s="700"/>
      <c r="C45" s="701"/>
      <c r="D45" s="701"/>
      <c r="E45" s="701"/>
      <c r="F45" s="701"/>
      <c r="G45" s="701"/>
      <c r="H45" s="702"/>
      <c r="I45" s="660"/>
      <c r="J45" s="703"/>
      <c r="K45" s="689"/>
      <c r="L45" s="681"/>
      <c r="M45" s="696"/>
      <c r="N45" s="690"/>
      <c r="O45" s="427">
        <f t="shared" si="0"/>
        <v>0</v>
      </c>
      <c r="P45" s="113">
        <f t="shared" si="1"/>
        <v>0</v>
      </c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125"/>
    </row>
    <row r="46" spans="1:42" ht="6" customHeight="1">
      <c r="A46" s="265"/>
      <c r="B46" s="654" t="s">
        <v>2113</v>
      </c>
      <c r="C46" s="654"/>
      <c r="D46" s="654"/>
      <c r="E46" s="654"/>
      <c r="F46" s="654"/>
      <c r="G46" s="654"/>
      <c r="H46" s="655"/>
      <c r="I46" s="659">
        <v>0</v>
      </c>
      <c r="J46" s="661" t="s">
        <v>2659</v>
      </c>
      <c r="K46" s="667">
        <v>0</v>
      </c>
      <c r="L46" s="665" t="str">
        <f>IF('из города'!$AG$9=3,"Дол.",IF('из города'!$AG$9=1,"Руб.","Грн."))</f>
        <v>Грн.</v>
      </c>
      <c r="M46" s="694">
        <f>I46*K46</f>
        <v>0</v>
      </c>
      <c r="N46" s="651" t="str">
        <f>IF('из города'!$AG$9=3,"Дол.",IF('из города'!$AG$9=1,"Руб.","Грн."))</f>
        <v>Грн.</v>
      </c>
      <c r="O46" s="427">
        <f t="shared" si="0"/>
        <v>0</v>
      </c>
      <c r="P46" s="113">
        <f t="shared" si="1"/>
        <v>0</v>
      </c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125"/>
    </row>
    <row r="47" spans="1:42" ht="6" customHeight="1">
      <c r="A47" s="265"/>
      <c r="B47" s="657"/>
      <c r="C47" s="657"/>
      <c r="D47" s="657"/>
      <c r="E47" s="657"/>
      <c r="F47" s="657"/>
      <c r="G47" s="657"/>
      <c r="H47" s="658"/>
      <c r="I47" s="746"/>
      <c r="J47" s="662"/>
      <c r="K47" s="668"/>
      <c r="L47" s="666"/>
      <c r="M47" s="695"/>
      <c r="N47" s="652"/>
      <c r="O47" s="427">
        <f t="shared" si="0"/>
        <v>0</v>
      </c>
      <c r="P47" s="113">
        <f t="shared" si="1"/>
        <v>0</v>
      </c>
      <c r="AC47" s="311"/>
      <c r="AD47" s="311"/>
      <c r="AE47" s="311"/>
      <c r="AF47" s="311"/>
      <c r="AG47" s="311"/>
      <c r="AH47" s="311"/>
      <c r="AI47" s="299"/>
      <c r="AJ47" s="299"/>
      <c r="AK47" s="295"/>
      <c r="AL47" s="295"/>
      <c r="AM47" s="174"/>
      <c r="AN47" s="174"/>
      <c r="AO47" s="290"/>
      <c r="AP47" s="125"/>
    </row>
    <row r="48" spans="1:42" ht="6" customHeight="1">
      <c r="A48" s="265"/>
      <c r="B48" s="701"/>
      <c r="C48" s="701"/>
      <c r="D48" s="701"/>
      <c r="E48" s="701"/>
      <c r="F48" s="701"/>
      <c r="G48" s="701"/>
      <c r="H48" s="702"/>
      <c r="I48" s="660"/>
      <c r="J48" s="703"/>
      <c r="K48" s="689"/>
      <c r="L48" s="681"/>
      <c r="M48" s="696"/>
      <c r="N48" s="690"/>
      <c r="O48" s="427">
        <f t="shared" si="0"/>
        <v>0</v>
      </c>
      <c r="P48" s="113">
        <f t="shared" si="1"/>
        <v>0</v>
      </c>
      <c r="AC48" s="311"/>
      <c r="AD48" s="311"/>
      <c r="AE48" s="311"/>
      <c r="AF48" s="311"/>
      <c r="AG48" s="311"/>
      <c r="AH48" s="311"/>
      <c r="AI48" s="299"/>
      <c r="AJ48" s="299"/>
      <c r="AK48" s="295"/>
      <c r="AL48" s="295"/>
      <c r="AM48" s="174"/>
      <c r="AN48" s="174"/>
      <c r="AO48" s="295"/>
      <c r="AP48" s="125"/>
    </row>
    <row r="49" spans="1:43" ht="6" customHeight="1">
      <c r="A49" s="263"/>
      <c r="B49" s="656" t="s">
        <v>2113</v>
      </c>
      <c r="C49" s="657"/>
      <c r="D49" s="657"/>
      <c r="E49" s="657"/>
      <c r="F49" s="657"/>
      <c r="G49" s="657"/>
      <c r="H49" s="658"/>
      <c r="I49" s="746">
        <v>0</v>
      </c>
      <c r="J49" s="661" t="s">
        <v>2659</v>
      </c>
      <c r="K49" s="668">
        <v>0</v>
      </c>
      <c r="L49" s="666" t="str">
        <f>IF('из города'!$AG$9=3,"Дол.",IF('из города'!$AG$9=1,"Руб.","Грн."))</f>
        <v>Грн.</v>
      </c>
      <c r="M49" s="695">
        <f>I49*K49</f>
        <v>0</v>
      </c>
      <c r="N49" s="652" t="str">
        <f>IF('из города'!$AG$9=3,"Дол.",IF('из города'!$AG$9=1,"Руб.","Грн."))</f>
        <v>Грн.</v>
      </c>
      <c r="O49" s="427">
        <f t="shared" si="0"/>
        <v>0</v>
      </c>
      <c r="P49" s="113">
        <f t="shared" si="1"/>
        <v>0</v>
      </c>
      <c r="AC49" s="311"/>
      <c r="AD49" s="311"/>
      <c r="AE49" s="311"/>
      <c r="AF49" s="311"/>
      <c r="AG49" s="311"/>
      <c r="AH49" s="311"/>
      <c r="AI49" s="299"/>
      <c r="AJ49" s="299"/>
      <c r="AK49" s="295"/>
      <c r="AL49" s="295"/>
      <c r="AM49" s="174"/>
      <c r="AN49" s="174"/>
      <c r="AO49" s="295"/>
      <c r="AP49" s="125"/>
    </row>
    <row r="50" spans="1:43" ht="6" customHeight="1">
      <c r="A50" s="263"/>
      <c r="B50" s="656"/>
      <c r="C50" s="657"/>
      <c r="D50" s="657"/>
      <c r="E50" s="657"/>
      <c r="F50" s="657"/>
      <c r="G50" s="657"/>
      <c r="H50" s="658"/>
      <c r="I50" s="746"/>
      <c r="J50" s="662"/>
      <c r="K50" s="668"/>
      <c r="L50" s="666"/>
      <c r="M50" s="695"/>
      <c r="N50" s="652"/>
      <c r="O50" s="427">
        <f t="shared" si="0"/>
        <v>0</v>
      </c>
      <c r="P50" s="113">
        <f t="shared" si="1"/>
        <v>0</v>
      </c>
      <c r="AC50" s="290"/>
      <c r="AD50" s="290"/>
      <c r="AE50" s="290"/>
      <c r="AF50" s="290"/>
      <c r="AG50" s="290"/>
      <c r="AH50" s="290"/>
      <c r="AI50" s="307"/>
      <c r="AJ50" s="307"/>
      <c r="AK50" s="307"/>
      <c r="AL50" s="312"/>
      <c r="AM50" s="174"/>
      <c r="AN50" s="174"/>
      <c r="AO50" s="290"/>
      <c r="AP50" s="125"/>
    </row>
    <row r="51" spans="1:43" ht="6" customHeight="1">
      <c r="A51" s="263"/>
      <c r="B51" s="656"/>
      <c r="C51" s="657"/>
      <c r="D51" s="657"/>
      <c r="E51" s="657"/>
      <c r="F51" s="657"/>
      <c r="G51" s="657"/>
      <c r="H51" s="658"/>
      <c r="I51" s="660"/>
      <c r="J51" s="703"/>
      <c r="K51" s="689"/>
      <c r="L51" s="681"/>
      <c r="M51" s="696"/>
      <c r="N51" s="652"/>
      <c r="O51" s="427">
        <f t="shared" si="0"/>
        <v>0</v>
      </c>
      <c r="P51" s="113">
        <f t="shared" si="1"/>
        <v>0</v>
      </c>
      <c r="AC51" s="290"/>
      <c r="AD51" s="290"/>
      <c r="AE51" s="290"/>
      <c r="AF51" s="290"/>
      <c r="AG51" s="290"/>
      <c r="AH51" s="290"/>
      <c r="AI51" s="307"/>
      <c r="AJ51" s="307"/>
      <c r="AK51" s="307"/>
      <c r="AL51" s="307"/>
      <c r="AM51" s="174"/>
      <c r="AN51" s="174"/>
      <c r="AO51" s="290"/>
      <c r="AP51" s="125"/>
    </row>
    <row r="52" spans="1:43" ht="9.5" customHeight="1">
      <c r="A52" s="263"/>
      <c r="B52" s="677" t="s">
        <v>2675</v>
      </c>
      <c r="C52" s="643"/>
      <c r="D52" s="643"/>
      <c r="E52" s="643"/>
      <c r="F52" s="643"/>
      <c r="G52" s="643"/>
      <c r="H52" s="644"/>
      <c r="I52" s="659">
        <v>4</v>
      </c>
      <c r="J52" s="661" t="s">
        <v>2676</v>
      </c>
      <c r="K52" s="667">
        <v>7</v>
      </c>
      <c r="L52" s="665" t="str">
        <f>IF('из города'!$AG$9=3,"Дол.",IF('из города'!$AG$9=1,"Руб.","Грн."))</f>
        <v>Грн.</v>
      </c>
      <c r="M52" s="663">
        <f>I52*K52</f>
        <v>28</v>
      </c>
      <c r="N52" s="651" t="str">
        <f>IF('из города'!$AG$9=3,"Дол.",IF('из города'!$AG$9=1,"Руб.","Грн."))</f>
        <v>Грн.</v>
      </c>
      <c r="O52" s="427">
        <f t="shared" si="0"/>
        <v>4</v>
      </c>
      <c r="P52" s="113">
        <f t="shared" si="1"/>
        <v>28</v>
      </c>
      <c r="AC52" s="290"/>
      <c r="AD52" s="290"/>
      <c r="AE52" s="290"/>
      <c r="AF52" s="290"/>
      <c r="AG52" s="290"/>
      <c r="AH52" s="290"/>
      <c r="AI52" s="307"/>
      <c r="AJ52" s="307"/>
      <c r="AK52" s="307"/>
      <c r="AL52" s="307"/>
      <c r="AM52" s="174"/>
      <c r="AN52" s="174"/>
      <c r="AO52" s="290"/>
      <c r="AP52" s="125"/>
    </row>
    <row r="53" spans="1:43" ht="9.5" customHeight="1">
      <c r="A53" s="263"/>
      <c r="B53" s="645"/>
      <c r="C53" s="646"/>
      <c r="D53" s="646"/>
      <c r="E53" s="646"/>
      <c r="F53" s="646"/>
      <c r="G53" s="646"/>
      <c r="H53" s="647"/>
      <c r="I53" s="660"/>
      <c r="J53" s="662"/>
      <c r="K53" s="668"/>
      <c r="L53" s="666"/>
      <c r="M53" s="664"/>
      <c r="N53" s="652"/>
      <c r="O53" s="427">
        <f t="shared" si="0"/>
        <v>0</v>
      </c>
      <c r="P53" s="113">
        <f t="shared" si="1"/>
        <v>0</v>
      </c>
    </row>
    <row r="54" spans="1:43" ht="9.5" customHeight="1">
      <c r="A54" s="263"/>
      <c r="B54" s="677" t="s">
        <v>2664</v>
      </c>
      <c r="C54" s="643"/>
      <c r="D54" s="643"/>
      <c r="E54" s="643"/>
      <c r="F54" s="643"/>
      <c r="G54" s="643"/>
      <c r="H54" s="644"/>
      <c r="I54" s="659">
        <v>10</v>
      </c>
      <c r="J54" s="661" t="s">
        <v>2641</v>
      </c>
      <c r="K54" s="667">
        <v>2</v>
      </c>
      <c r="L54" s="665" t="str">
        <f>IF('из города'!$AG$9=3,"Дол.",IF('из города'!$AG$9=1,"Руб.","Грн."))</f>
        <v>Грн.</v>
      </c>
      <c r="M54" s="663">
        <f>I54*K54</f>
        <v>20</v>
      </c>
      <c r="N54" s="651" t="str">
        <f>IF('из города'!$AG$9=3,"Дол.",IF('из города'!$AG$9=1,"Руб.","Грн."))</f>
        <v>Грн.</v>
      </c>
      <c r="O54" s="427">
        <f t="shared" si="0"/>
        <v>10</v>
      </c>
      <c r="P54" s="113">
        <f t="shared" si="1"/>
        <v>20</v>
      </c>
      <c r="AQ54" s="113">
        <f>M78</f>
        <v>0</v>
      </c>
    </row>
    <row r="55" spans="1:43" ht="9.5" customHeight="1">
      <c r="A55" s="263"/>
      <c r="B55" s="645"/>
      <c r="C55" s="646"/>
      <c r="D55" s="646"/>
      <c r="E55" s="646"/>
      <c r="F55" s="646"/>
      <c r="G55" s="646"/>
      <c r="H55" s="647"/>
      <c r="I55" s="660"/>
      <c r="J55" s="662"/>
      <c r="K55" s="668"/>
      <c r="L55" s="666"/>
      <c r="M55" s="664"/>
      <c r="N55" s="652"/>
      <c r="O55" s="427">
        <f t="shared" si="0"/>
        <v>0</v>
      </c>
      <c r="P55" s="113">
        <f t="shared" si="1"/>
        <v>0</v>
      </c>
    </row>
    <row r="56" spans="1:43" ht="9.5" customHeight="1">
      <c r="A56" s="263"/>
      <c r="B56" s="677" t="s">
        <v>2653</v>
      </c>
      <c r="C56" s="643"/>
      <c r="D56" s="643"/>
      <c r="E56" s="643"/>
      <c r="F56" s="643"/>
      <c r="G56" s="643"/>
      <c r="H56" s="644"/>
      <c r="I56" s="659">
        <v>1</v>
      </c>
      <c r="J56" s="661" t="s">
        <v>2639</v>
      </c>
      <c r="K56" s="667">
        <v>20</v>
      </c>
      <c r="L56" s="665" t="str">
        <f>IF('из города'!$AG$9=3,"Дол.",IF('из города'!$AG$9=1,"Руб.","Грн."))</f>
        <v>Грн.</v>
      </c>
      <c r="M56" s="663">
        <f>I56*K56</f>
        <v>20</v>
      </c>
      <c r="N56" s="651" t="str">
        <f>IF('из города'!$AG$9=3,"Дол.",IF('из города'!$AG$9=1,"Руб.","Грн."))</f>
        <v>Грн.</v>
      </c>
      <c r="O56" s="427">
        <f t="shared" si="0"/>
        <v>1</v>
      </c>
      <c r="P56" s="113">
        <f t="shared" si="1"/>
        <v>20</v>
      </c>
    </row>
    <row r="57" spans="1:43" ht="9.5" customHeight="1">
      <c r="A57" s="263"/>
      <c r="B57" s="645"/>
      <c r="C57" s="646"/>
      <c r="D57" s="646"/>
      <c r="E57" s="646"/>
      <c r="F57" s="646"/>
      <c r="G57" s="646"/>
      <c r="H57" s="647"/>
      <c r="I57" s="660"/>
      <c r="J57" s="662"/>
      <c r="K57" s="668"/>
      <c r="L57" s="666"/>
      <c r="M57" s="664"/>
      <c r="N57" s="652"/>
      <c r="O57" s="427">
        <f t="shared" si="0"/>
        <v>0</v>
      </c>
      <c r="P57" s="113">
        <f t="shared" si="1"/>
        <v>0</v>
      </c>
    </row>
    <row r="58" spans="1:43" ht="9.5" customHeight="1">
      <c r="A58" s="263"/>
      <c r="B58" s="677" t="s">
        <v>2652</v>
      </c>
      <c r="C58" s="643"/>
      <c r="D58" s="643"/>
      <c r="E58" s="643"/>
      <c r="F58" s="643"/>
      <c r="G58" s="643"/>
      <c r="H58" s="644"/>
      <c r="I58" s="659">
        <v>4</v>
      </c>
      <c r="J58" s="661" t="s">
        <v>2639</v>
      </c>
      <c r="K58" s="667">
        <v>2</v>
      </c>
      <c r="L58" s="665" t="str">
        <f>IF('из города'!$AG$9=3,"Дол.",IF('из города'!$AG$9=1,"Руб.","Грн."))</f>
        <v>Грн.</v>
      </c>
      <c r="M58" s="663">
        <f>I58*K58</f>
        <v>8</v>
      </c>
      <c r="N58" s="651" t="str">
        <f>IF('из города'!$AG$9=3,"Дол.",IF('из города'!$AG$9=1,"Руб.","Грн."))</f>
        <v>Грн.</v>
      </c>
      <c r="O58" s="427">
        <f t="shared" si="0"/>
        <v>4</v>
      </c>
      <c r="P58" s="113">
        <f t="shared" si="1"/>
        <v>8</v>
      </c>
    </row>
    <row r="59" spans="1:43" ht="9.5" customHeight="1">
      <c r="A59" s="263"/>
      <c r="B59" s="645"/>
      <c r="C59" s="646"/>
      <c r="D59" s="646"/>
      <c r="E59" s="646"/>
      <c r="F59" s="646"/>
      <c r="G59" s="646"/>
      <c r="H59" s="647"/>
      <c r="I59" s="660"/>
      <c r="J59" s="662"/>
      <c r="K59" s="668"/>
      <c r="L59" s="666"/>
      <c r="M59" s="664"/>
      <c r="N59" s="652"/>
      <c r="O59" s="427">
        <f t="shared" si="0"/>
        <v>0</v>
      </c>
      <c r="P59" s="113">
        <f t="shared" si="1"/>
        <v>0</v>
      </c>
    </row>
    <row r="60" spans="1:43" ht="9.5" customHeight="1">
      <c r="A60" s="263"/>
      <c r="B60" s="677" t="s">
        <v>2674</v>
      </c>
      <c r="C60" s="643"/>
      <c r="D60" s="643"/>
      <c r="E60" s="643"/>
      <c r="F60" s="643"/>
      <c r="G60" s="643"/>
      <c r="H60" s="644"/>
      <c r="I60" s="659">
        <v>0</v>
      </c>
      <c r="J60" s="661" t="s">
        <v>2639</v>
      </c>
      <c r="K60" s="667">
        <v>70</v>
      </c>
      <c r="L60" s="665" t="str">
        <f>IF('из города'!$AG$9=3,"Дол.",IF('из города'!$AG$9=1,"Руб.","Грн."))</f>
        <v>Грн.</v>
      </c>
      <c r="M60" s="663">
        <f>I60*K60</f>
        <v>0</v>
      </c>
      <c r="N60" s="651" t="str">
        <f>IF('из города'!$AG$9=3,"Дол.",IF('из города'!$AG$9=1,"Руб.","Грн."))</f>
        <v>Грн.</v>
      </c>
      <c r="O60" s="427">
        <f t="shared" si="0"/>
        <v>0</v>
      </c>
      <c r="P60" s="113">
        <f t="shared" si="1"/>
        <v>0</v>
      </c>
    </row>
    <row r="61" spans="1:43" ht="9.5" customHeight="1">
      <c r="A61" s="263"/>
      <c r="B61" s="645"/>
      <c r="C61" s="646"/>
      <c r="D61" s="646"/>
      <c r="E61" s="646"/>
      <c r="F61" s="646"/>
      <c r="G61" s="646"/>
      <c r="H61" s="647"/>
      <c r="I61" s="660"/>
      <c r="J61" s="662"/>
      <c r="K61" s="668"/>
      <c r="L61" s="666"/>
      <c r="M61" s="664"/>
      <c r="N61" s="652"/>
      <c r="O61" s="427">
        <f t="shared" si="0"/>
        <v>0</v>
      </c>
      <c r="P61" s="113">
        <f t="shared" si="1"/>
        <v>0</v>
      </c>
    </row>
    <row r="62" spans="1:43" ht="9.5" customHeight="1">
      <c r="A62" s="263"/>
      <c r="B62" s="669" t="s">
        <v>2660</v>
      </c>
      <c r="C62" s="670"/>
      <c r="D62" s="670"/>
      <c r="E62" s="670"/>
      <c r="F62" s="670"/>
      <c r="G62" s="670"/>
      <c r="H62" s="671"/>
      <c r="I62" s="659">
        <v>6</v>
      </c>
      <c r="J62" s="661" t="s">
        <v>2661</v>
      </c>
      <c r="K62" s="667">
        <v>15</v>
      </c>
      <c r="L62" s="675" t="str">
        <f>IF('из города'!$AG$9=3,"Дол.",IF('из города'!$AG$9=1,"Руб.","Грн."))</f>
        <v>Грн.</v>
      </c>
      <c r="M62" s="663">
        <f>I62*K62</f>
        <v>90</v>
      </c>
      <c r="N62" s="651" t="str">
        <f>IF('из города'!$AG$9=3,"Дол.",IF('из города'!$AG$9=1,"Руб.","Грн."))</f>
        <v>Грн.</v>
      </c>
      <c r="O62" s="427">
        <f t="shared" si="0"/>
        <v>6</v>
      </c>
      <c r="P62" s="113">
        <f t="shared" si="1"/>
        <v>90</v>
      </c>
    </row>
    <row r="63" spans="1:43" ht="9.5" customHeight="1">
      <c r="A63" s="263"/>
      <c r="B63" s="672"/>
      <c r="C63" s="673"/>
      <c r="D63" s="673"/>
      <c r="E63" s="673"/>
      <c r="F63" s="673"/>
      <c r="G63" s="673"/>
      <c r="H63" s="674"/>
      <c r="I63" s="660"/>
      <c r="J63" s="662"/>
      <c r="K63" s="668"/>
      <c r="L63" s="676"/>
      <c r="M63" s="664"/>
      <c r="N63" s="652"/>
      <c r="O63" s="427">
        <f t="shared" si="0"/>
        <v>0</v>
      </c>
      <c r="P63" s="113">
        <f t="shared" si="1"/>
        <v>0</v>
      </c>
    </row>
    <row r="64" spans="1:43" s="263" customFormat="1" ht="9.5" customHeight="1">
      <c r="B64" s="669" t="s">
        <v>2680</v>
      </c>
      <c r="C64" s="670"/>
      <c r="D64" s="670"/>
      <c r="E64" s="670"/>
      <c r="F64" s="670"/>
      <c r="G64" s="670"/>
      <c r="H64" s="671"/>
      <c r="I64" s="659">
        <v>0</v>
      </c>
      <c r="J64" s="661" t="s">
        <v>2647</v>
      </c>
      <c r="K64" s="667">
        <v>200</v>
      </c>
      <c r="L64" s="675" t="str">
        <f>IF('из города'!$AG$9=3,"Дол.",IF('из города'!$AG$9=1,"Руб.","Грн."))</f>
        <v>Грн.</v>
      </c>
      <c r="M64" s="663">
        <f>I64*K64</f>
        <v>0</v>
      </c>
      <c r="N64" s="651" t="str">
        <f>IF('из города'!$AG$9=3,"Дол.",IF('из города'!$AG$9=1,"Руб.","Грн."))</f>
        <v>Грн.</v>
      </c>
      <c r="O64" s="427">
        <f t="shared" si="0"/>
        <v>0</v>
      </c>
      <c r="P64" s="113">
        <f t="shared" si="1"/>
        <v>0</v>
      </c>
    </row>
    <row r="65" spans="1:16" s="263" customFormat="1" ht="9.5" customHeight="1">
      <c r="B65" s="672"/>
      <c r="C65" s="673"/>
      <c r="D65" s="673"/>
      <c r="E65" s="673"/>
      <c r="F65" s="673"/>
      <c r="G65" s="673"/>
      <c r="H65" s="674"/>
      <c r="I65" s="660"/>
      <c r="J65" s="662"/>
      <c r="K65" s="668"/>
      <c r="L65" s="676"/>
      <c r="M65" s="664"/>
      <c r="N65" s="652"/>
      <c r="O65" s="427">
        <f t="shared" si="0"/>
        <v>0</v>
      </c>
      <c r="P65" s="113">
        <f t="shared" si="1"/>
        <v>0</v>
      </c>
    </row>
    <row r="66" spans="1:16" s="263" customFormat="1" ht="9.5" customHeight="1">
      <c r="B66" s="669" t="s">
        <v>2677</v>
      </c>
      <c r="C66" s="670"/>
      <c r="D66" s="670"/>
      <c r="E66" s="670"/>
      <c r="F66" s="670"/>
      <c r="G66" s="670"/>
      <c r="H66" s="671"/>
      <c r="I66" s="659">
        <v>0</v>
      </c>
      <c r="J66" s="661" t="s">
        <v>2639</v>
      </c>
      <c r="K66" s="667">
        <v>500</v>
      </c>
      <c r="L66" s="675" t="str">
        <f>IF('из города'!$AG$9=3,"Дол.",IF('из города'!$AG$9=1,"Руб.","Грн."))</f>
        <v>Грн.</v>
      </c>
      <c r="M66" s="663">
        <f>I66*K66</f>
        <v>0</v>
      </c>
      <c r="N66" s="651" t="str">
        <f>IF('из города'!$AG$9=3,"Дол.",IF('из города'!$AG$9=1,"Руб.","Грн."))</f>
        <v>Грн.</v>
      </c>
      <c r="O66" s="427">
        <f t="shared" si="0"/>
        <v>0</v>
      </c>
      <c r="P66" s="113">
        <f t="shared" si="1"/>
        <v>0</v>
      </c>
    </row>
    <row r="67" spans="1:16" s="263" customFormat="1" ht="9.5" customHeight="1">
      <c r="B67" s="672"/>
      <c r="C67" s="673"/>
      <c r="D67" s="673"/>
      <c r="E67" s="673"/>
      <c r="F67" s="673"/>
      <c r="G67" s="673"/>
      <c r="H67" s="674"/>
      <c r="I67" s="660"/>
      <c r="J67" s="662"/>
      <c r="K67" s="668"/>
      <c r="L67" s="676"/>
      <c r="M67" s="664"/>
      <c r="N67" s="652"/>
      <c r="O67" s="427">
        <f t="shared" si="0"/>
        <v>0</v>
      </c>
      <c r="P67" s="113">
        <f t="shared" si="1"/>
        <v>0</v>
      </c>
    </row>
    <row r="68" spans="1:16" ht="9.5" customHeight="1">
      <c r="A68" s="263"/>
      <c r="B68" s="653" t="s">
        <v>2658</v>
      </c>
      <c r="C68" s="654"/>
      <c r="D68" s="654"/>
      <c r="E68" s="654"/>
      <c r="F68" s="654"/>
      <c r="G68" s="654"/>
      <c r="H68" s="655"/>
      <c r="I68" s="659">
        <v>1</v>
      </c>
      <c r="J68" s="661" t="s">
        <v>2647</v>
      </c>
      <c r="K68" s="667">
        <v>0</v>
      </c>
      <c r="L68" s="665" t="str">
        <f>IF('из города'!$AG$9=3,"Дол.",IF('из города'!$AG$9=1,"Руб.","Грн."))</f>
        <v>Грн.</v>
      </c>
      <c r="M68" s="663">
        <f>I68*K68</f>
        <v>0</v>
      </c>
      <c r="N68" s="651" t="str">
        <f>IF('из города'!$AG$9=3,"Дол.",IF('из города'!$AG$9=1,"Руб.","Грн."))</f>
        <v>Грн.</v>
      </c>
      <c r="O68" s="427">
        <f t="shared" si="0"/>
        <v>1</v>
      </c>
      <c r="P68" s="113">
        <f t="shared" si="1"/>
        <v>0</v>
      </c>
    </row>
    <row r="69" spans="1:16" ht="9.5" customHeight="1">
      <c r="A69" s="263"/>
      <c r="B69" s="656"/>
      <c r="C69" s="657"/>
      <c r="D69" s="657"/>
      <c r="E69" s="657"/>
      <c r="F69" s="657"/>
      <c r="G69" s="657"/>
      <c r="H69" s="658"/>
      <c r="I69" s="660"/>
      <c r="J69" s="662"/>
      <c r="K69" s="668"/>
      <c r="L69" s="666"/>
      <c r="M69" s="664"/>
      <c r="N69" s="652"/>
      <c r="O69" s="427">
        <f t="shared" si="0"/>
        <v>0</v>
      </c>
      <c r="P69" s="113">
        <f t="shared" si="1"/>
        <v>0</v>
      </c>
    </row>
    <row r="70" spans="1:16" ht="9.5" customHeight="1">
      <c r="A70" s="263"/>
      <c r="B70" s="653" t="s">
        <v>2658</v>
      </c>
      <c r="C70" s="654"/>
      <c r="D70" s="654"/>
      <c r="E70" s="654"/>
      <c r="F70" s="654"/>
      <c r="G70" s="654"/>
      <c r="H70" s="655"/>
      <c r="I70" s="659">
        <v>1</v>
      </c>
      <c r="J70" s="661" t="s">
        <v>2647</v>
      </c>
      <c r="K70" s="667">
        <v>0</v>
      </c>
      <c r="L70" s="665" t="str">
        <f>IF('из города'!$AG$9=3,"Дол.",IF('из города'!$AG$9=1,"Руб.","Грн."))</f>
        <v>Грн.</v>
      </c>
      <c r="M70" s="663">
        <f>I70*K70</f>
        <v>0</v>
      </c>
      <c r="N70" s="651" t="str">
        <f>IF('из города'!$AG$9=3,"Дол.",IF('из города'!$AG$9=1,"Руб.","Грн."))</f>
        <v>Грн.</v>
      </c>
      <c r="O70" s="427">
        <f t="shared" si="0"/>
        <v>1</v>
      </c>
      <c r="P70" s="113">
        <f t="shared" si="1"/>
        <v>0</v>
      </c>
    </row>
    <row r="71" spans="1:16" ht="9.5" customHeight="1">
      <c r="A71" s="263"/>
      <c r="B71" s="656"/>
      <c r="C71" s="657"/>
      <c r="D71" s="657"/>
      <c r="E71" s="657"/>
      <c r="F71" s="657"/>
      <c r="G71" s="657"/>
      <c r="H71" s="658"/>
      <c r="I71" s="660"/>
      <c r="J71" s="662"/>
      <c r="K71" s="668"/>
      <c r="L71" s="666"/>
      <c r="M71" s="664"/>
      <c r="N71" s="652"/>
      <c r="O71" s="427">
        <f t="shared" si="0"/>
        <v>0</v>
      </c>
      <c r="P71" s="113">
        <f t="shared" si="1"/>
        <v>0</v>
      </c>
    </row>
    <row r="72" spans="1:16" ht="9.5" customHeight="1">
      <c r="A72" s="263"/>
      <c r="B72" s="653" t="s">
        <v>2658</v>
      </c>
      <c r="C72" s="654"/>
      <c r="D72" s="654"/>
      <c r="E72" s="654"/>
      <c r="F72" s="654"/>
      <c r="G72" s="654"/>
      <c r="H72" s="655"/>
      <c r="I72" s="659">
        <v>1</v>
      </c>
      <c r="J72" s="661" t="s">
        <v>2647</v>
      </c>
      <c r="K72" s="667">
        <v>0</v>
      </c>
      <c r="L72" s="665" t="str">
        <f>IF('из города'!$AG$9=3,"Дол.",IF('из города'!$AG$9=1,"Руб.","Грн."))</f>
        <v>Грн.</v>
      </c>
      <c r="M72" s="663">
        <f>I72*K72</f>
        <v>0</v>
      </c>
      <c r="N72" s="651" t="str">
        <f>IF('из города'!$AG$9=3,"Дол.",IF('из города'!$AG$9=1,"Руб.","Грн."))</f>
        <v>Грн.</v>
      </c>
      <c r="O72" s="427">
        <f t="shared" ref="O72:O77" si="2">I72</f>
        <v>1</v>
      </c>
      <c r="P72" s="113">
        <f t="shared" ref="P72:P77" si="3">M72</f>
        <v>0</v>
      </c>
    </row>
    <row r="73" spans="1:16" ht="9.5" customHeight="1">
      <c r="A73" s="263"/>
      <c r="B73" s="656"/>
      <c r="C73" s="657"/>
      <c r="D73" s="657"/>
      <c r="E73" s="657"/>
      <c r="F73" s="657"/>
      <c r="G73" s="657"/>
      <c r="H73" s="658"/>
      <c r="I73" s="660"/>
      <c r="J73" s="662"/>
      <c r="K73" s="668"/>
      <c r="L73" s="666"/>
      <c r="M73" s="664"/>
      <c r="N73" s="652"/>
      <c r="O73" s="427">
        <f t="shared" si="2"/>
        <v>0</v>
      </c>
      <c r="P73" s="113">
        <f t="shared" si="3"/>
        <v>0</v>
      </c>
    </row>
    <row r="74" spans="1:16" ht="9.5" customHeight="1">
      <c r="A74" s="263"/>
      <c r="B74" s="653" t="s">
        <v>2658</v>
      </c>
      <c r="C74" s="654"/>
      <c r="D74" s="654"/>
      <c r="E74" s="654"/>
      <c r="F74" s="654"/>
      <c r="G74" s="654"/>
      <c r="H74" s="655"/>
      <c r="I74" s="659">
        <v>1</v>
      </c>
      <c r="J74" s="661" t="s">
        <v>2647</v>
      </c>
      <c r="K74" s="667">
        <v>0</v>
      </c>
      <c r="L74" s="665" t="str">
        <f>IF('из города'!$AG$9=3,"Дол.",IF('из города'!$AG$9=1,"Руб.","Грн."))</f>
        <v>Грн.</v>
      </c>
      <c r="M74" s="663">
        <f>I74*K74</f>
        <v>0</v>
      </c>
      <c r="N74" s="651" t="str">
        <f>IF('из города'!$AG$9=3,"Дол.",IF('из города'!$AG$9=1,"Руб.","Грн."))</f>
        <v>Грн.</v>
      </c>
      <c r="O74" s="427">
        <f t="shared" si="2"/>
        <v>1</v>
      </c>
      <c r="P74" s="113">
        <f t="shared" si="3"/>
        <v>0</v>
      </c>
    </row>
    <row r="75" spans="1:16" ht="9.5" customHeight="1">
      <c r="A75" s="263"/>
      <c r="B75" s="656"/>
      <c r="C75" s="657"/>
      <c r="D75" s="657"/>
      <c r="E75" s="657"/>
      <c r="F75" s="657"/>
      <c r="G75" s="657"/>
      <c r="H75" s="658"/>
      <c r="I75" s="660"/>
      <c r="J75" s="662"/>
      <c r="K75" s="668"/>
      <c r="L75" s="666"/>
      <c r="M75" s="664"/>
      <c r="N75" s="652"/>
      <c r="O75" s="427">
        <f t="shared" si="2"/>
        <v>0</v>
      </c>
      <c r="P75" s="113">
        <f t="shared" si="3"/>
        <v>0</v>
      </c>
    </row>
    <row r="76" spans="1:16" ht="9.5" customHeight="1">
      <c r="A76" s="263"/>
      <c r="B76" s="653" t="s">
        <v>2658</v>
      </c>
      <c r="C76" s="654"/>
      <c r="D76" s="654"/>
      <c r="E76" s="654"/>
      <c r="F76" s="654"/>
      <c r="G76" s="654"/>
      <c r="H76" s="655"/>
      <c r="I76" s="659">
        <v>1</v>
      </c>
      <c r="J76" s="661" t="s">
        <v>2647</v>
      </c>
      <c r="K76" s="667">
        <v>0</v>
      </c>
      <c r="L76" s="665" t="str">
        <f>IF('из города'!$AG$9=3,"Дол.",IF('из города'!$AG$9=1,"Руб.","Грн."))</f>
        <v>Грн.</v>
      </c>
      <c r="M76" s="663">
        <f>I76*K76</f>
        <v>0</v>
      </c>
      <c r="N76" s="651" t="str">
        <f>IF('из города'!$AG$9=3,"Дол.",IF('из города'!$AG$9=1,"Руб.","Грн."))</f>
        <v>Грн.</v>
      </c>
      <c r="O76" s="427">
        <f t="shared" si="2"/>
        <v>1</v>
      </c>
      <c r="P76" s="113">
        <f t="shared" si="3"/>
        <v>0</v>
      </c>
    </row>
    <row r="77" spans="1:16" ht="9.5" customHeight="1">
      <c r="A77" s="263"/>
      <c r="B77" s="656"/>
      <c r="C77" s="657"/>
      <c r="D77" s="657"/>
      <c r="E77" s="657"/>
      <c r="F77" s="657"/>
      <c r="G77" s="657"/>
      <c r="H77" s="658"/>
      <c r="I77" s="660"/>
      <c r="J77" s="662"/>
      <c r="K77" s="668"/>
      <c r="L77" s="666"/>
      <c r="M77" s="664"/>
      <c r="N77" s="652"/>
      <c r="O77" s="427">
        <f t="shared" si="2"/>
        <v>0</v>
      </c>
      <c r="P77" s="113">
        <f t="shared" si="3"/>
        <v>0</v>
      </c>
    </row>
    <row r="78" spans="1:16" ht="7.5" customHeight="1">
      <c r="A78" s="285" t="b">
        <v>0</v>
      </c>
      <c r="B78" s="749" t="s">
        <v>15</v>
      </c>
      <c r="C78" s="750"/>
      <c r="D78" s="750"/>
      <c r="E78" s="750"/>
      <c r="F78" s="750"/>
      <c r="G78" s="750"/>
      <c r="H78" s="259"/>
      <c r="I78" s="259"/>
      <c r="J78" s="260"/>
      <c r="K78" s="845">
        <f>M78/P78</f>
        <v>0</v>
      </c>
      <c r="L78" s="759" t="s">
        <v>17</v>
      </c>
      <c r="M78" s="845">
        <f>IF(A78=TRUE,SUM(M7:M76),0)</f>
        <v>0</v>
      </c>
      <c r="N78" s="679" t="str">
        <f>IF('из города'!$AG$9=3,"Дол.",IF('из города'!$AG$9=1,"Руб.","Грн."))</f>
        <v>Грн.</v>
      </c>
      <c r="O78" s="263"/>
      <c r="P78" s="856">
        <f>Главная!X13</f>
        <v>26</v>
      </c>
    </row>
    <row r="79" spans="1:16" ht="7.5" customHeight="1">
      <c r="A79" s="263"/>
      <c r="B79" s="751"/>
      <c r="C79" s="752"/>
      <c r="D79" s="752"/>
      <c r="E79" s="752"/>
      <c r="F79" s="752"/>
      <c r="G79" s="752"/>
      <c r="H79" s="259"/>
      <c r="I79" s="259"/>
      <c r="J79" s="704"/>
      <c r="K79" s="747"/>
      <c r="L79" s="704"/>
      <c r="M79" s="747"/>
      <c r="N79" s="679"/>
      <c r="O79" s="263"/>
      <c r="P79" s="856"/>
    </row>
    <row r="80" spans="1:16" ht="7.5" customHeight="1">
      <c r="A80" s="263"/>
      <c r="B80" s="751"/>
      <c r="C80" s="752"/>
      <c r="D80" s="752"/>
      <c r="E80" s="752"/>
      <c r="F80" s="752"/>
      <c r="G80" s="752"/>
      <c r="H80" s="259"/>
      <c r="I80" s="259"/>
      <c r="J80" s="704"/>
      <c r="K80" s="747"/>
      <c r="L80" s="704"/>
      <c r="M80" s="747"/>
      <c r="N80" s="679"/>
      <c r="O80" s="263"/>
      <c r="P80" s="856"/>
    </row>
    <row r="81" spans="1:16" ht="7.5" customHeight="1" thickBot="1">
      <c r="A81" s="263"/>
      <c r="B81" s="753"/>
      <c r="C81" s="754"/>
      <c r="D81" s="754"/>
      <c r="E81" s="754"/>
      <c r="F81" s="754"/>
      <c r="G81" s="754"/>
      <c r="H81" s="261"/>
      <c r="I81" s="261"/>
      <c r="J81" s="705"/>
      <c r="K81" s="748"/>
      <c r="L81" s="705"/>
      <c r="M81" s="748"/>
      <c r="N81" s="763"/>
      <c r="O81" s="115">
        <f>M78</f>
        <v>0</v>
      </c>
      <c r="P81" s="856"/>
    </row>
    <row r="82" spans="1:16" ht="20.5" customHeight="1" thickTop="1">
      <c r="A82" s="263"/>
      <c r="B82" s="258"/>
      <c r="C82" s="258"/>
      <c r="D82" s="258"/>
      <c r="E82" s="258"/>
      <c r="F82" s="258"/>
      <c r="G82" s="258"/>
      <c r="H82" s="287"/>
      <c r="I82" s="287"/>
      <c r="J82" s="287"/>
      <c r="K82" s="289"/>
      <c r="L82" s="383"/>
      <c r="M82" s="382"/>
      <c r="N82" s="383"/>
      <c r="O82" s="263"/>
    </row>
    <row r="83" spans="1:16" ht="20" customHeight="1" thickBot="1">
      <c r="A83" s="263"/>
      <c r="B83" s="258"/>
      <c r="C83" s="258"/>
      <c r="D83" s="258"/>
      <c r="E83" s="258"/>
      <c r="F83" s="258"/>
      <c r="G83" s="258"/>
      <c r="H83" s="288"/>
      <c r="I83" s="288"/>
      <c r="J83" s="288"/>
      <c r="K83" s="393"/>
      <c r="L83" s="394"/>
      <c r="M83" s="116"/>
      <c r="N83" s="383"/>
      <c r="O83" s="263"/>
    </row>
    <row r="84" spans="1:16" ht="20" customHeight="1" thickTop="1">
      <c r="A84" s="263"/>
      <c r="B84" s="706" t="s">
        <v>2718</v>
      </c>
      <c r="C84" s="697"/>
      <c r="D84" s="697"/>
      <c r="E84" s="697"/>
      <c r="F84" s="697"/>
      <c r="G84" s="697"/>
      <c r="H84" s="697"/>
      <c r="I84" s="697"/>
      <c r="J84" s="697"/>
      <c r="K84" s="697"/>
      <c r="L84" s="697"/>
      <c r="M84" s="697"/>
      <c r="N84" s="697"/>
    </row>
    <row r="85" spans="1:16" ht="15" thickBot="1">
      <c r="A85" s="263"/>
      <c r="B85" s="849"/>
      <c r="C85" s="698"/>
      <c r="D85" s="698"/>
      <c r="E85" s="698"/>
      <c r="F85" s="698"/>
      <c r="G85" s="698"/>
      <c r="H85" s="698"/>
      <c r="I85" s="698"/>
      <c r="J85" s="698"/>
      <c r="K85" s="698"/>
      <c r="L85" s="698"/>
      <c r="M85" s="698"/>
      <c r="N85" s="698"/>
    </row>
    <row r="86" spans="1:16" ht="10.5" customHeight="1" thickTop="1">
      <c r="B86" s="504" t="s">
        <v>2737</v>
      </c>
      <c r="C86" s="712"/>
      <c r="D86" s="712"/>
      <c r="E86" s="712"/>
      <c r="F86" s="712"/>
      <c r="G86" s="712"/>
      <c r="H86" s="713"/>
      <c r="I86" s="477" t="s">
        <v>2738</v>
      </c>
      <c r="J86" s="479"/>
      <c r="K86" s="477" t="s">
        <v>2</v>
      </c>
      <c r="L86" s="479"/>
      <c r="M86" s="478" t="s">
        <v>2749</v>
      </c>
      <c r="N86" s="479"/>
    </row>
    <row r="87" spans="1:16" ht="10.5" customHeight="1">
      <c r="B87" s="714"/>
      <c r="C87" s="850"/>
      <c r="D87" s="850"/>
      <c r="E87" s="850"/>
      <c r="F87" s="850"/>
      <c r="G87" s="850"/>
      <c r="H87" s="716"/>
      <c r="I87" s="480"/>
      <c r="J87" s="482"/>
      <c r="K87" s="480"/>
      <c r="L87" s="482"/>
      <c r="M87" s="481"/>
      <c r="N87" s="482"/>
    </row>
    <row r="88" spans="1:16" ht="10.5" customHeight="1" thickBot="1">
      <c r="B88" s="717"/>
      <c r="C88" s="710"/>
      <c r="D88" s="710"/>
      <c r="E88" s="710"/>
      <c r="F88" s="710"/>
      <c r="G88" s="710"/>
      <c r="H88" s="711"/>
      <c r="I88" s="483"/>
      <c r="J88" s="485"/>
      <c r="K88" s="483"/>
      <c r="L88" s="485"/>
      <c r="M88" s="484"/>
      <c r="N88" s="485"/>
    </row>
    <row r="89" spans="1:16" ht="8" customHeight="1" thickTop="1">
      <c r="B89" s="730" t="s">
        <v>2747</v>
      </c>
      <c r="C89" s="731"/>
      <c r="D89" s="731"/>
      <c r="E89" s="731"/>
      <c r="F89" s="731"/>
      <c r="G89" s="731"/>
      <c r="H89" s="814"/>
      <c r="I89" s="728">
        <v>43</v>
      </c>
      <c r="J89" s="687" t="s">
        <v>13</v>
      </c>
      <c r="K89" s="668">
        <v>100</v>
      </c>
      <c r="L89" s="666" t="str">
        <f>IF('из города'!$AG$9=3,"Дол.",IF('из города'!$AG$9=1,"Руб.","Грн."))</f>
        <v>Грн.</v>
      </c>
      <c r="M89" s="664">
        <f>I89*K89</f>
        <v>4300</v>
      </c>
      <c r="N89" s="652" t="str">
        <f>IF('из города'!$AG$9=3,"Дол.",IF('из города'!$AG$9=1,"Руб.","Грн."))</f>
        <v>Грн.</v>
      </c>
    </row>
    <row r="90" spans="1:16" ht="8" customHeight="1">
      <c r="B90" s="645"/>
      <c r="C90" s="646"/>
      <c r="D90" s="646"/>
      <c r="E90" s="646"/>
      <c r="F90" s="646"/>
      <c r="G90" s="646"/>
      <c r="H90" s="647"/>
      <c r="I90" s="728"/>
      <c r="J90" s="687"/>
      <c r="K90" s="668"/>
      <c r="L90" s="666"/>
      <c r="M90" s="664"/>
      <c r="N90" s="652"/>
    </row>
    <row r="91" spans="1:16" ht="8" customHeight="1">
      <c r="B91" s="648"/>
      <c r="C91" s="649"/>
      <c r="D91" s="649"/>
      <c r="E91" s="649"/>
      <c r="F91" s="649"/>
      <c r="G91" s="649"/>
      <c r="H91" s="650"/>
      <c r="I91" s="729"/>
      <c r="J91" s="688"/>
      <c r="K91" s="689"/>
      <c r="L91" s="681"/>
      <c r="M91" s="682"/>
      <c r="N91" s="690"/>
    </row>
    <row r="92" spans="1:16" ht="8" customHeight="1">
      <c r="B92" s="738" t="s">
        <v>2757</v>
      </c>
      <c r="C92" s="739"/>
      <c r="D92" s="739"/>
      <c r="E92" s="739"/>
      <c r="F92" s="739"/>
      <c r="G92" s="739"/>
      <c r="H92" s="842"/>
      <c r="I92" s="728">
        <v>43</v>
      </c>
      <c r="J92" s="687" t="s">
        <v>13</v>
      </c>
      <c r="K92" s="667">
        <v>50</v>
      </c>
      <c r="L92" s="665" t="str">
        <f>IF('из города'!$AG$9=3,"Дол.",IF('из города'!$AG$9=1,"Руб.","Грн."))</f>
        <v>Грн.</v>
      </c>
      <c r="M92" s="663">
        <f>I92*K92</f>
        <v>2150</v>
      </c>
      <c r="N92" s="651" t="str">
        <f>IF('из города'!$AG$9=3,"Дол.",IF('из города'!$AG$9=1,"Руб.","Грн."))</f>
        <v>Грн.</v>
      </c>
    </row>
    <row r="93" spans="1:16" ht="8" customHeight="1">
      <c r="B93" s="740"/>
      <c r="C93" s="741"/>
      <c r="D93" s="741"/>
      <c r="E93" s="741"/>
      <c r="F93" s="741"/>
      <c r="G93" s="741"/>
      <c r="H93" s="843"/>
      <c r="I93" s="728"/>
      <c r="J93" s="687"/>
      <c r="K93" s="668"/>
      <c r="L93" s="666"/>
      <c r="M93" s="664"/>
      <c r="N93" s="652"/>
    </row>
    <row r="94" spans="1:16" ht="8" customHeight="1">
      <c r="B94" s="742"/>
      <c r="C94" s="743"/>
      <c r="D94" s="743"/>
      <c r="E94" s="743"/>
      <c r="F94" s="743"/>
      <c r="G94" s="743"/>
      <c r="H94" s="844"/>
      <c r="I94" s="729"/>
      <c r="J94" s="688"/>
      <c r="K94" s="689"/>
      <c r="L94" s="681"/>
      <c r="M94" s="682"/>
      <c r="N94" s="690"/>
    </row>
    <row r="95" spans="1:16" ht="8" customHeight="1">
      <c r="B95" s="677" t="s">
        <v>2669</v>
      </c>
      <c r="C95" s="643"/>
      <c r="D95" s="643"/>
      <c r="E95" s="643"/>
      <c r="F95" s="643"/>
      <c r="G95" s="643"/>
      <c r="H95" s="644"/>
      <c r="I95" s="726">
        <v>43</v>
      </c>
      <c r="J95" s="687" t="s">
        <v>13</v>
      </c>
      <c r="K95" s="667">
        <v>100</v>
      </c>
      <c r="L95" s="665" t="str">
        <f>IF('из города'!$AG$9=3,"Дол.",IF('из города'!$AG$9=1,"Руб.","Грн."))</f>
        <v>Грн.</v>
      </c>
      <c r="M95" s="663">
        <f>I95*K95</f>
        <v>4300</v>
      </c>
      <c r="N95" s="651" t="str">
        <f>IF('из города'!$AG$9=3,"Дол.",IF('из города'!$AG$9=1,"Руб.","Грн."))</f>
        <v>Грн.</v>
      </c>
    </row>
    <row r="96" spans="1:16" ht="8" customHeight="1">
      <c r="B96" s="645"/>
      <c r="C96" s="646"/>
      <c r="D96" s="646"/>
      <c r="E96" s="646"/>
      <c r="F96" s="646"/>
      <c r="G96" s="646"/>
      <c r="H96" s="647"/>
      <c r="I96" s="859"/>
      <c r="J96" s="687"/>
      <c r="K96" s="668"/>
      <c r="L96" s="666"/>
      <c r="M96" s="664"/>
      <c r="N96" s="652"/>
    </row>
    <row r="97" spans="1:15" ht="8" customHeight="1">
      <c r="B97" s="648"/>
      <c r="C97" s="649"/>
      <c r="D97" s="649"/>
      <c r="E97" s="649"/>
      <c r="F97" s="649"/>
      <c r="G97" s="649"/>
      <c r="H97" s="650"/>
      <c r="I97" s="860"/>
      <c r="J97" s="688"/>
      <c r="K97" s="689"/>
      <c r="L97" s="681"/>
      <c r="M97" s="682"/>
      <c r="N97" s="690"/>
    </row>
    <row r="98" spans="1:15" ht="8" customHeight="1">
      <c r="B98" s="677" t="s">
        <v>2752</v>
      </c>
      <c r="C98" s="643"/>
      <c r="D98" s="643"/>
      <c r="E98" s="643"/>
      <c r="F98" s="643"/>
      <c r="G98" s="643"/>
      <c r="H98" s="644"/>
      <c r="I98" s="726">
        <v>43</v>
      </c>
      <c r="J98" s="687" t="s">
        <v>13</v>
      </c>
      <c r="K98" s="667">
        <v>30</v>
      </c>
      <c r="L98" s="665" t="str">
        <f>IF('из города'!$AG$9=3,"Дол.",IF('из города'!$AG$9=1,"Руб.","Грн."))</f>
        <v>Грн.</v>
      </c>
      <c r="M98" s="663">
        <f>I98*K98</f>
        <v>1290</v>
      </c>
      <c r="N98" s="651" t="str">
        <f>IF('из города'!$AG$9=3,"Дол.",IF('из города'!$AG$9=1,"Руб.","Грн."))</f>
        <v>Грн.</v>
      </c>
    </row>
    <row r="99" spans="1:15" ht="8" customHeight="1">
      <c r="B99" s="645"/>
      <c r="C99" s="646"/>
      <c r="D99" s="646"/>
      <c r="E99" s="646"/>
      <c r="F99" s="646"/>
      <c r="G99" s="646"/>
      <c r="H99" s="647"/>
      <c r="I99" s="859"/>
      <c r="J99" s="687"/>
      <c r="K99" s="668"/>
      <c r="L99" s="666"/>
      <c r="M99" s="664"/>
      <c r="N99" s="652"/>
    </row>
    <row r="100" spans="1:15" ht="8" customHeight="1">
      <c r="B100" s="648"/>
      <c r="C100" s="649"/>
      <c r="D100" s="649"/>
      <c r="E100" s="649"/>
      <c r="F100" s="649"/>
      <c r="G100" s="649"/>
      <c r="H100" s="650"/>
      <c r="I100" s="860"/>
      <c r="J100" s="688"/>
      <c r="K100" s="689"/>
      <c r="L100" s="681"/>
      <c r="M100" s="682"/>
      <c r="N100" s="690"/>
    </row>
    <row r="101" spans="1:15" ht="8" customHeight="1">
      <c r="B101" s="677" t="s">
        <v>2748</v>
      </c>
      <c r="C101" s="643"/>
      <c r="D101" s="643"/>
      <c r="E101" s="643"/>
      <c r="F101" s="643"/>
      <c r="G101" s="643"/>
      <c r="H101" s="644"/>
      <c r="I101" s="726">
        <v>43</v>
      </c>
      <c r="J101" s="687" t="s">
        <v>13</v>
      </c>
      <c r="K101" s="667">
        <v>10</v>
      </c>
      <c r="L101" s="665" t="str">
        <f>IF('из города'!$AG$9=3,"Дол.",IF('из города'!$AG$9=1,"Руб.","Грн."))</f>
        <v>Грн.</v>
      </c>
      <c r="M101" s="663">
        <f>I101*K101</f>
        <v>430</v>
      </c>
      <c r="N101" s="651" t="str">
        <f>IF('из города'!$AG$9=3,"Дол.",IF('из города'!$AG$9=1,"Руб.","Грн."))</f>
        <v>Грн.</v>
      </c>
    </row>
    <row r="102" spans="1:15" ht="8" customHeight="1">
      <c r="B102" s="645"/>
      <c r="C102" s="646"/>
      <c r="D102" s="646"/>
      <c r="E102" s="646"/>
      <c r="F102" s="646"/>
      <c r="G102" s="646"/>
      <c r="H102" s="647"/>
      <c r="I102" s="859"/>
      <c r="J102" s="687"/>
      <c r="K102" s="668"/>
      <c r="L102" s="666"/>
      <c r="M102" s="664"/>
      <c r="N102" s="652"/>
    </row>
    <row r="103" spans="1:15" ht="8" customHeight="1">
      <c r="B103" s="648"/>
      <c r="C103" s="649"/>
      <c r="D103" s="649"/>
      <c r="E103" s="649"/>
      <c r="F103" s="649"/>
      <c r="G103" s="649"/>
      <c r="H103" s="650"/>
      <c r="I103" s="860"/>
      <c r="J103" s="688"/>
      <c r="K103" s="689"/>
      <c r="L103" s="681"/>
      <c r="M103" s="682"/>
      <c r="N103" s="690"/>
    </row>
    <row r="104" spans="1:15" ht="8" customHeight="1">
      <c r="B104" s="677" t="s">
        <v>2672</v>
      </c>
      <c r="C104" s="643"/>
      <c r="D104" s="643"/>
      <c r="E104" s="643"/>
      <c r="F104" s="643"/>
      <c r="G104" s="643"/>
      <c r="H104" s="644"/>
      <c r="I104" s="726">
        <v>43</v>
      </c>
      <c r="J104" s="687" t="s">
        <v>13</v>
      </c>
      <c r="K104" s="667">
        <v>10</v>
      </c>
      <c r="L104" s="665" t="str">
        <f>IF('из города'!$AG$9=3,"Дол.",IF('из города'!$AG$9=1,"Руб.","Грн."))</f>
        <v>Грн.</v>
      </c>
      <c r="M104" s="663">
        <f>I104*K104</f>
        <v>430</v>
      </c>
      <c r="N104" s="651" t="str">
        <f>IF('из города'!$AG$9=3,"Дол.",IF('из города'!$AG$9=1,"Руб.","Грн."))</f>
        <v>Грн.</v>
      </c>
    </row>
    <row r="105" spans="1:15" ht="8" customHeight="1">
      <c r="B105" s="645"/>
      <c r="C105" s="646"/>
      <c r="D105" s="646"/>
      <c r="E105" s="646"/>
      <c r="F105" s="646"/>
      <c r="G105" s="646"/>
      <c r="H105" s="647"/>
      <c r="I105" s="859"/>
      <c r="J105" s="687"/>
      <c r="K105" s="668"/>
      <c r="L105" s="666"/>
      <c r="M105" s="664"/>
      <c r="N105" s="652"/>
    </row>
    <row r="106" spans="1:15" ht="8" customHeight="1">
      <c r="B106" s="648"/>
      <c r="C106" s="649"/>
      <c r="D106" s="649"/>
      <c r="E106" s="649"/>
      <c r="F106" s="649"/>
      <c r="G106" s="649"/>
      <c r="H106" s="650"/>
      <c r="I106" s="860"/>
      <c r="J106" s="688"/>
      <c r="K106" s="689"/>
      <c r="L106" s="681"/>
      <c r="M106" s="682"/>
      <c r="N106" s="690"/>
    </row>
    <row r="107" spans="1:15" ht="8.5" customHeight="1">
      <c r="A107" s="285" t="b">
        <v>0</v>
      </c>
      <c r="B107" s="749" t="s">
        <v>2723</v>
      </c>
      <c r="C107" s="750"/>
      <c r="D107" s="750"/>
      <c r="E107" s="750"/>
      <c r="F107" s="750"/>
      <c r="G107" s="750"/>
      <c r="H107" s="259"/>
      <c r="I107" s="259"/>
      <c r="J107" s="260"/>
      <c r="K107" s="845">
        <f>M107/P78</f>
        <v>0</v>
      </c>
      <c r="L107" s="759" t="s">
        <v>17</v>
      </c>
      <c r="M107" s="845">
        <f>IF(A107=TRUE,M89+M92+M95+M98+M101+M104,0)</f>
        <v>0</v>
      </c>
      <c r="N107" s="679" t="str">
        <f>IF('из города'!$AG$9=3,"Дол.",IF('из города'!$AG$9=1,"Руб.","Грн."))</f>
        <v>Грн.</v>
      </c>
    </row>
    <row r="108" spans="1:15" ht="8.5" customHeight="1">
      <c r="B108" s="751"/>
      <c r="C108" s="752"/>
      <c r="D108" s="752"/>
      <c r="E108" s="752"/>
      <c r="F108" s="752"/>
      <c r="G108" s="752"/>
      <c r="H108" s="259"/>
      <c r="I108" s="259"/>
      <c r="J108" s="704"/>
      <c r="K108" s="747"/>
      <c r="L108" s="704"/>
      <c r="M108" s="747"/>
      <c r="N108" s="679"/>
    </row>
    <row r="109" spans="1:15" ht="8.5" customHeight="1">
      <c r="B109" s="751"/>
      <c r="C109" s="752"/>
      <c r="D109" s="752"/>
      <c r="E109" s="752"/>
      <c r="F109" s="752"/>
      <c r="G109" s="752"/>
      <c r="H109" s="259"/>
      <c r="I109" s="259"/>
      <c r="J109" s="704"/>
      <c r="K109" s="747"/>
      <c r="L109" s="704"/>
      <c r="M109" s="747"/>
      <c r="N109" s="679"/>
      <c r="O109" s="115">
        <f>M107</f>
        <v>0</v>
      </c>
    </row>
    <row r="110" spans="1:15" ht="8.5" customHeight="1" thickBot="1">
      <c r="B110" s="753"/>
      <c r="C110" s="754"/>
      <c r="D110" s="754"/>
      <c r="E110" s="754"/>
      <c r="F110" s="754"/>
      <c r="G110" s="754"/>
      <c r="H110" s="261"/>
      <c r="I110" s="261"/>
      <c r="J110" s="705"/>
      <c r="K110" s="748"/>
      <c r="L110" s="705"/>
      <c r="M110" s="748"/>
      <c r="N110" s="763"/>
    </row>
    <row r="111" spans="1:15" ht="15" thickTop="1"/>
  </sheetData>
  <sheetProtection password="C665" sheet="1" selectLockedCells="1"/>
  <mergeCells count="262">
    <mergeCell ref="B107:G110"/>
    <mergeCell ref="K107:K110"/>
    <mergeCell ref="L107:L110"/>
    <mergeCell ref="M107:M110"/>
    <mergeCell ref="N107:N110"/>
    <mergeCell ref="J108:J110"/>
    <mergeCell ref="N98:N100"/>
    <mergeCell ref="M98:M100"/>
    <mergeCell ref="L98:L100"/>
    <mergeCell ref="N104:N106"/>
    <mergeCell ref="K98:K100"/>
    <mergeCell ref="J98:J100"/>
    <mergeCell ref="I98:I100"/>
    <mergeCell ref="N101:N103"/>
    <mergeCell ref="B104:H106"/>
    <mergeCell ref="I104:I106"/>
    <mergeCell ref="J104:J106"/>
    <mergeCell ref="K104:K106"/>
    <mergeCell ref="L104:L106"/>
    <mergeCell ref="M104:M106"/>
    <mergeCell ref="B98:H100"/>
    <mergeCell ref="B101:H103"/>
    <mergeCell ref="I101:I103"/>
    <mergeCell ref="J101:J103"/>
    <mergeCell ref="N95:N97"/>
    <mergeCell ref="N89:N91"/>
    <mergeCell ref="B92:H94"/>
    <mergeCell ref="I92:I94"/>
    <mergeCell ref="J92:J94"/>
    <mergeCell ref="K92:K94"/>
    <mergeCell ref="L92:L94"/>
    <mergeCell ref="M92:M94"/>
    <mergeCell ref="N92:N94"/>
    <mergeCell ref="K101:K103"/>
    <mergeCell ref="L101:L103"/>
    <mergeCell ref="M101:M103"/>
    <mergeCell ref="B89:H91"/>
    <mergeCell ref="I89:I91"/>
    <mergeCell ref="J89:J91"/>
    <mergeCell ref="K89:K91"/>
    <mergeCell ref="L89:L91"/>
    <mergeCell ref="M89:M91"/>
    <mergeCell ref="K1:L1"/>
    <mergeCell ref="B2:N3"/>
    <mergeCell ref="B4:H6"/>
    <mergeCell ref="I4:J6"/>
    <mergeCell ref="K4:L6"/>
    <mergeCell ref="B95:H97"/>
    <mergeCell ref="I95:I97"/>
    <mergeCell ref="J95:J97"/>
    <mergeCell ref="K95:K97"/>
    <mergeCell ref="L95:L97"/>
    <mergeCell ref="M95:M97"/>
    <mergeCell ref="M86:N88"/>
    <mergeCell ref="B7:H9"/>
    <mergeCell ref="I7:I9"/>
    <mergeCell ref="J7:J9"/>
    <mergeCell ref="K7:K9"/>
    <mergeCell ref="L7:L9"/>
    <mergeCell ref="M7:M9"/>
    <mergeCell ref="M4:N6"/>
    <mergeCell ref="K13:K15"/>
    <mergeCell ref="L13:L15"/>
    <mergeCell ref="M13:M15"/>
    <mergeCell ref="N19:N21"/>
    <mergeCell ref="B22:H24"/>
    <mergeCell ref="P78:P81"/>
    <mergeCell ref="B84:N85"/>
    <mergeCell ref="B86:H88"/>
    <mergeCell ref="I86:J88"/>
    <mergeCell ref="K86:L88"/>
    <mergeCell ref="N7:N9"/>
    <mergeCell ref="B10:H12"/>
    <mergeCell ref="I10:I12"/>
    <mergeCell ref="J10:J12"/>
    <mergeCell ref="K10:K12"/>
    <mergeCell ref="L10:L12"/>
    <mergeCell ref="M10:M12"/>
    <mergeCell ref="N10:N12"/>
    <mergeCell ref="N13:N15"/>
    <mergeCell ref="B16:H18"/>
    <mergeCell ref="I16:I18"/>
    <mergeCell ref="J16:J18"/>
    <mergeCell ref="K16:K18"/>
    <mergeCell ref="L16:L18"/>
    <mergeCell ref="M16:M18"/>
    <mergeCell ref="N16:N18"/>
    <mergeCell ref="B13:H15"/>
    <mergeCell ref="I13:I15"/>
    <mergeCell ref="J13:J15"/>
    <mergeCell ref="I22:I24"/>
    <mergeCell ref="J22:J24"/>
    <mergeCell ref="K22:K24"/>
    <mergeCell ref="L22:L24"/>
    <mergeCell ref="M22:M24"/>
    <mergeCell ref="N22:N24"/>
    <mergeCell ref="B19:H21"/>
    <mergeCell ref="I19:I21"/>
    <mergeCell ref="J19:J21"/>
    <mergeCell ref="K19:K21"/>
    <mergeCell ref="L19:L21"/>
    <mergeCell ref="M19:M21"/>
    <mergeCell ref="N25:N27"/>
    <mergeCell ref="N28:N30"/>
    <mergeCell ref="N31:N33"/>
    <mergeCell ref="B28:H30"/>
    <mergeCell ref="I28:I30"/>
    <mergeCell ref="J28:J30"/>
    <mergeCell ref="K28:K30"/>
    <mergeCell ref="L28:L30"/>
    <mergeCell ref="M28:M30"/>
    <mergeCell ref="B25:H27"/>
    <mergeCell ref="I25:I27"/>
    <mergeCell ref="J25:J27"/>
    <mergeCell ref="K25:K27"/>
    <mergeCell ref="L25:L27"/>
    <mergeCell ref="M25:M27"/>
    <mergeCell ref="B31:H33"/>
    <mergeCell ref="I31:I33"/>
    <mergeCell ref="J31:J33"/>
    <mergeCell ref="K31:K33"/>
    <mergeCell ref="L31:L33"/>
    <mergeCell ref="M31:M33"/>
    <mergeCell ref="N34:N36"/>
    <mergeCell ref="B37:H39"/>
    <mergeCell ref="I37:I39"/>
    <mergeCell ref="J37:J39"/>
    <mergeCell ref="K37:K39"/>
    <mergeCell ref="M37:M39"/>
    <mergeCell ref="N37:N39"/>
    <mergeCell ref="B34:H36"/>
    <mergeCell ref="I34:I36"/>
    <mergeCell ref="J34:J36"/>
    <mergeCell ref="K34:K36"/>
    <mergeCell ref="L34:L36"/>
    <mergeCell ref="M34:M36"/>
    <mergeCell ref="L37:L39"/>
    <mergeCell ref="B43:H45"/>
    <mergeCell ref="I43:I45"/>
    <mergeCell ref="J43:J45"/>
    <mergeCell ref="K43:K45"/>
    <mergeCell ref="L43:L45"/>
    <mergeCell ref="M43:M45"/>
    <mergeCell ref="N43:N45"/>
    <mergeCell ref="B40:H42"/>
    <mergeCell ref="I40:I42"/>
    <mergeCell ref="J40:J42"/>
    <mergeCell ref="K40:K42"/>
    <mergeCell ref="L40:L42"/>
    <mergeCell ref="M40:M42"/>
    <mergeCell ref="N40:N42"/>
    <mergeCell ref="N46:N48"/>
    <mergeCell ref="B49:H51"/>
    <mergeCell ref="I49:I51"/>
    <mergeCell ref="J49:J51"/>
    <mergeCell ref="K49:K51"/>
    <mergeCell ref="L49:L51"/>
    <mergeCell ref="M49:M51"/>
    <mergeCell ref="N49:N51"/>
    <mergeCell ref="B46:H48"/>
    <mergeCell ref="I46:I48"/>
    <mergeCell ref="J46:J48"/>
    <mergeCell ref="K46:K48"/>
    <mergeCell ref="L46:L48"/>
    <mergeCell ref="M46:M48"/>
    <mergeCell ref="N52:N53"/>
    <mergeCell ref="B54:H55"/>
    <mergeCell ref="I54:I55"/>
    <mergeCell ref="J54:J55"/>
    <mergeCell ref="K54:K55"/>
    <mergeCell ref="L54:L55"/>
    <mergeCell ref="M54:M55"/>
    <mergeCell ref="N54:N55"/>
    <mergeCell ref="B52:H53"/>
    <mergeCell ref="I52:I53"/>
    <mergeCell ref="J52:J53"/>
    <mergeCell ref="K52:K53"/>
    <mergeCell ref="L52:L53"/>
    <mergeCell ref="M52:M53"/>
    <mergeCell ref="N56:N57"/>
    <mergeCell ref="B58:H59"/>
    <mergeCell ref="I58:I59"/>
    <mergeCell ref="J58:J59"/>
    <mergeCell ref="K58:K59"/>
    <mergeCell ref="L58:L59"/>
    <mergeCell ref="M58:M59"/>
    <mergeCell ref="N58:N59"/>
    <mergeCell ref="B56:H57"/>
    <mergeCell ref="I56:I57"/>
    <mergeCell ref="J56:J57"/>
    <mergeCell ref="K56:K57"/>
    <mergeCell ref="L56:L57"/>
    <mergeCell ref="M56:M57"/>
    <mergeCell ref="N60:N61"/>
    <mergeCell ref="B62:H63"/>
    <mergeCell ref="I62:I63"/>
    <mergeCell ref="J62:J63"/>
    <mergeCell ref="K62:K63"/>
    <mergeCell ref="L62:L63"/>
    <mergeCell ref="M62:M63"/>
    <mergeCell ref="N62:N63"/>
    <mergeCell ref="B60:H61"/>
    <mergeCell ref="I60:I61"/>
    <mergeCell ref="J60:J61"/>
    <mergeCell ref="K60:K61"/>
    <mergeCell ref="L60:L61"/>
    <mergeCell ref="M60:M61"/>
    <mergeCell ref="N68:N69"/>
    <mergeCell ref="N70:N71"/>
    <mergeCell ref="B70:H71"/>
    <mergeCell ref="I70:I71"/>
    <mergeCell ref="J70:J71"/>
    <mergeCell ref="K70:K71"/>
    <mergeCell ref="L70:L71"/>
    <mergeCell ref="M70:M71"/>
    <mergeCell ref="B68:H69"/>
    <mergeCell ref="I68:I69"/>
    <mergeCell ref="J68:J69"/>
    <mergeCell ref="K68:K69"/>
    <mergeCell ref="L68:L69"/>
    <mergeCell ref="M68:M69"/>
    <mergeCell ref="N72:N73"/>
    <mergeCell ref="B74:H75"/>
    <mergeCell ref="I74:I75"/>
    <mergeCell ref="J74:J75"/>
    <mergeCell ref="K74:K75"/>
    <mergeCell ref="L74:L75"/>
    <mergeCell ref="M74:M75"/>
    <mergeCell ref="N74:N75"/>
    <mergeCell ref="B72:H73"/>
    <mergeCell ref="I72:I73"/>
    <mergeCell ref="J72:J73"/>
    <mergeCell ref="K72:K73"/>
    <mergeCell ref="L72:L73"/>
    <mergeCell ref="M72:M73"/>
    <mergeCell ref="N76:N77"/>
    <mergeCell ref="B78:G81"/>
    <mergeCell ref="K78:K81"/>
    <mergeCell ref="L78:L81"/>
    <mergeCell ref="M78:M81"/>
    <mergeCell ref="N78:N81"/>
    <mergeCell ref="J79:J81"/>
    <mergeCell ref="B76:H77"/>
    <mergeCell ref="I76:I77"/>
    <mergeCell ref="J76:J77"/>
    <mergeCell ref="K76:K77"/>
    <mergeCell ref="L76:L77"/>
    <mergeCell ref="M76:M77"/>
    <mergeCell ref="M64:M65"/>
    <mergeCell ref="N64:N65"/>
    <mergeCell ref="B66:H67"/>
    <mergeCell ref="I66:I67"/>
    <mergeCell ref="J66:J67"/>
    <mergeCell ref="K66:K67"/>
    <mergeCell ref="L66:L67"/>
    <mergeCell ref="M66:M67"/>
    <mergeCell ref="N66:N67"/>
    <mergeCell ref="B64:H65"/>
    <mergeCell ref="I64:I65"/>
    <mergeCell ref="J64:J65"/>
    <mergeCell ref="K64:K65"/>
    <mergeCell ref="L64:L65"/>
  </mergeCells>
  <hyperlinks>
    <hyperlink ref="E1" location="Купол!A1" display="Купол"/>
    <hyperlink ref="F1" location="козырёк!A1" display="Козырьки"/>
    <hyperlink ref="H1" location="'Стены 1'!A1" display="Стены 1"/>
    <hyperlink ref="I1" location="Перекрытие2!A1" display="Перекрытие 2"/>
    <hyperlink ref="J1" location="Стены2!A1" display="Стены 2"/>
    <hyperlink ref="K1" location="Башня!A1" display="Обзорная башня"/>
    <hyperlink ref="N1" location="Доставка!A1" display="Окна"/>
    <hyperlink ref="D1" location="'Смета фунд.'!A1" display="Смета фундамента"/>
    <hyperlink ref="M1" location="Окна!A1" display="Окна"/>
    <hyperlink ref="B1" location="Главная!A1" display="Главная"/>
    <hyperlink ref="G1" location="'Перекрытия 1'!A1" display="Перекр.1"/>
    <hyperlink ref="C1" location="'Район фунд.'!A1" display="Район фундамента"/>
  </hyperlink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AN130"/>
  <sheetViews>
    <sheetView showGridLines="0" showRowColHeaders="0" workbookViewId="0">
      <pane ySplit="1" topLeftCell="A2" activePane="bottomLeft" state="frozen"/>
      <selection pane="bottomLeft" activeCell="J1" sqref="J1"/>
    </sheetView>
  </sheetViews>
  <sheetFormatPr defaultRowHeight="14.5"/>
  <cols>
    <col min="1" max="1" width="7" customWidth="1"/>
    <col min="2" max="14" width="9.08984375" customWidth="1"/>
    <col min="15" max="18" width="9.81640625" customWidth="1"/>
  </cols>
  <sheetData>
    <row r="1" spans="1:40" ht="21.5" customHeight="1" thickTop="1" thickBot="1">
      <c r="A1" s="263"/>
      <c r="B1" s="204" t="s">
        <v>2612</v>
      </c>
      <c r="C1" s="278" t="s">
        <v>2682</v>
      </c>
      <c r="D1" s="278" t="s">
        <v>2662</v>
      </c>
      <c r="E1" s="278" t="s">
        <v>2603</v>
      </c>
      <c r="F1" s="278" t="s">
        <v>2604</v>
      </c>
      <c r="G1" s="278" t="s">
        <v>2613</v>
      </c>
      <c r="H1" s="204" t="s">
        <v>2607</v>
      </c>
      <c r="I1" s="323" t="s">
        <v>2614</v>
      </c>
      <c r="J1" s="278" t="s">
        <v>2608</v>
      </c>
      <c r="K1" s="519" t="s">
        <v>2605</v>
      </c>
      <c r="L1" s="520"/>
      <c r="M1" s="278" t="s">
        <v>2606</v>
      </c>
      <c r="N1" s="278" t="s">
        <v>2634</v>
      </c>
      <c r="O1" s="263"/>
      <c r="P1" s="263"/>
      <c r="Q1" s="263"/>
      <c r="R1" s="263"/>
    </row>
    <row r="2" spans="1:40" ht="12" customHeight="1" thickTop="1">
      <c r="A2" s="263"/>
      <c r="B2" s="706" t="s">
        <v>2681</v>
      </c>
      <c r="C2" s="697"/>
      <c r="D2" s="697"/>
      <c r="E2" s="697"/>
      <c r="F2" s="697"/>
      <c r="G2" s="697"/>
      <c r="H2" s="697"/>
      <c r="I2" s="697"/>
      <c r="J2" s="697"/>
      <c r="K2" s="697"/>
      <c r="L2" s="697"/>
      <c r="M2" s="697"/>
      <c r="N2" s="697"/>
      <c r="O2" s="263"/>
      <c r="P2" s="263"/>
      <c r="Q2" s="263"/>
      <c r="R2" s="263"/>
    </row>
    <row r="3" spans="1:40" ht="12" customHeight="1" thickBot="1">
      <c r="A3" s="263"/>
      <c r="B3" s="849"/>
      <c r="C3" s="698"/>
      <c r="D3" s="698"/>
      <c r="E3" s="698"/>
      <c r="F3" s="698"/>
      <c r="G3" s="698"/>
      <c r="H3" s="698"/>
      <c r="I3" s="698"/>
      <c r="J3" s="698"/>
      <c r="K3" s="698"/>
      <c r="L3" s="698"/>
      <c r="M3" s="698"/>
      <c r="N3" s="698"/>
      <c r="O3" s="263"/>
      <c r="P3" s="263"/>
      <c r="Q3" s="263"/>
      <c r="R3" s="263"/>
    </row>
    <row r="4" spans="1:40" ht="11" customHeight="1" thickTop="1">
      <c r="A4" s="263"/>
      <c r="B4" s="504" t="s">
        <v>0</v>
      </c>
      <c r="C4" s="712"/>
      <c r="D4" s="712"/>
      <c r="E4" s="712"/>
      <c r="F4" s="712"/>
      <c r="G4" s="712"/>
      <c r="H4" s="713"/>
      <c r="I4" s="477" t="s">
        <v>1</v>
      </c>
      <c r="J4" s="479"/>
      <c r="K4" s="477" t="s">
        <v>2</v>
      </c>
      <c r="L4" s="479"/>
      <c r="M4" s="478" t="s">
        <v>3</v>
      </c>
      <c r="N4" s="479"/>
      <c r="O4" s="263"/>
      <c r="P4" s="263"/>
      <c r="Q4" s="263"/>
      <c r="R4" s="263"/>
      <c r="X4" s="308"/>
      <c r="Y4" s="308"/>
      <c r="Z4" s="308"/>
      <c r="AA4" s="308"/>
      <c r="AB4" s="308"/>
      <c r="AC4" s="308"/>
      <c r="AD4" s="308"/>
      <c r="AE4" s="308"/>
      <c r="AF4" s="308"/>
      <c r="AG4" s="308"/>
      <c r="AH4" s="308"/>
      <c r="AI4" s="308"/>
      <c r="AJ4" s="174"/>
      <c r="AK4" s="263"/>
      <c r="AL4" s="263"/>
      <c r="AM4" s="263"/>
      <c r="AN4" s="263"/>
    </row>
    <row r="5" spans="1:40" ht="11" customHeight="1">
      <c r="A5" s="263"/>
      <c r="B5" s="714"/>
      <c r="C5" s="850"/>
      <c r="D5" s="850"/>
      <c r="E5" s="850"/>
      <c r="F5" s="850"/>
      <c r="G5" s="850"/>
      <c r="H5" s="716"/>
      <c r="I5" s="480"/>
      <c r="J5" s="482"/>
      <c r="K5" s="480"/>
      <c r="L5" s="482"/>
      <c r="M5" s="481"/>
      <c r="N5" s="482"/>
      <c r="O5" s="263"/>
      <c r="P5" s="263"/>
      <c r="Q5" s="263"/>
      <c r="R5" s="263"/>
      <c r="X5" s="308"/>
      <c r="Y5" s="308"/>
      <c r="Z5" s="308"/>
      <c r="AA5" s="308"/>
      <c r="AB5" s="308"/>
      <c r="AC5" s="308"/>
      <c r="AD5" s="308"/>
      <c r="AE5" s="308"/>
      <c r="AF5" s="308"/>
      <c r="AG5" s="308"/>
      <c r="AH5" s="308"/>
      <c r="AI5" s="308"/>
      <c r="AJ5" s="174"/>
      <c r="AK5" s="263"/>
      <c r="AL5" s="263"/>
      <c r="AM5" s="263"/>
      <c r="AN5" s="263"/>
    </row>
    <row r="6" spans="1:40" ht="11" customHeight="1" thickBot="1">
      <c r="A6" s="263"/>
      <c r="B6" s="717"/>
      <c r="C6" s="710"/>
      <c r="D6" s="710"/>
      <c r="E6" s="710"/>
      <c r="F6" s="710"/>
      <c r="G6" s="710"/>
      <c r="H6" s="711"/>
      <c r="I6" s="483"/>
      <c r="J6" s="485"/>
      <c r="K6" s="483"/>
      <c r="L6" s="485"/>
      <c r="M6" s="484"/>
      <c r="N6" s="485"/>
      <c r="O6" s="263"/>
      <c r="P6" s="263"/>
      <c r="Q6" s="263"/>
      <c r="R6" s="263"/>
      <c r="X6" s="293"/>
      <c r="Y6" s="293"/>
      <c r="Z6" s="293"/>
      <c r="AA6" s="293"/>
      <c r="AB6" s="293"/>
      <c r="AC6" s="293"/>
      <c r="AD6" s="294"/>
      <c r="AE6" s="294"/>
      <c r="AF6" s="295"/>
      <c r="AG6" s="296"/>
      <c r="AH6" s="295"/>
      <c r="AI6" s="297"/>
      <c r="AJ6" s="290"/>
      <c r="AK6" s="263"/>
      <c r="AL6" s="263"/>
      <c r="AM6" s="263"/>
      <c r="AN6" s="263"/>
    </row>
    <row r="7" spans="1:40" ht="5.5" customHeight="1" thickTop="1">
      <c r="A7" s="263"/>
      <c r="B7" s="730" t="s">
        <v>2667</v>
      </c>
      <c r="C7" s="731"/>
      <c r="D7" s="731"/>
      <c r="E7" s="731"/>
      <c r="F7" s="731"/>
      <c r="G7" s="731"/>
      <c r="H7" s="814"/>
      <c r="I7" s="863">
        <v>1</v>
      </c>
      <c r="J7" s="687" t="s">
        <v>2108</v>
      </c>
      <c r="K7" s="668">
        <v>3500</v>
      </c>
      <c r="L7" s="666" t="str">
        <f>IF('из города'!$AG$9=3,"Дол.",IF('из города'!$AG$9=1,"Руб.","Грн."))</f>
        <v>Грн.</v>
      </c>
      <c r="M7" s="664">
        <f>I7*K7</f>
        <v>3500</v>
      </c>
      <c r="N7" s="652" t="str">
        <f>IF('из города'!$AG$9=3,"Дол.",IF('из города'!$AG$9=1,"Руб.","Грн."))</f>
        <v>Грн.</v>
      </c>
      <c r="O7" s="263"/>
      <c r="P7" s="263"/>
      <c r="Q7" s="263"/>
      <c r="R7" s="263"/>
      <c r="X7" s="293"/>
      <c r="Y7" s="293"/>
      <c r="Z7" s="293"/>
      <c r="AA7" s="293"/>
      <c r="AB7" s="293"/>
      <c r="AC7" s="293"/>
      <c r="AD7" s="294"/>
      <c r="AE7" s="294"/>
      <c r="AF7" s="295"/>
      <c r="AG7" s="296"/>
      <c r="AH7" s="295"/>
      <c r="AI7" s="297"/>
      <c r="AJ7" s="290"/>
      <c r="AK7" s="263"/>
      <c r="AL7" s="263"/>
      <c r="AM7" s="263"/>
      <c r="AN7" s="263"/>
    </row>
    <row r="8" spans="1:40" ht="5.5" customHeight="1">
      <c r="A8" s="263"/>
      <c r="B8" s="645"/>
      <c r="C8" s="646"/>
      <c r="D8" s="646"/>
      <c r="E8" s="646"/>
      <c r="F8" s="646"/>
      <c r="G8" s="646"/>
      <c r="H8" s="647"/>
      <c r="I8" s="863"/>
      <c r="J8" s="687"/>
      <c r="K8" s="668"/>
      <c r="L8" s="666"/>
      <c r="M8" s="664"/>
      <c r="N8" s="652"/>
      <c r="O8" s="263"/>
      <c r="P8" s="263"/>
      <c r="Q8" s="263"/>
      <c r="R8" s="263"/>
      <c r="X8" s="293"/>
      <c r="Y8" s="293"/>
      <c r="Z8" s="293"/>
      <c r="AA8" s="293"/>
      <c r="AB8" s="293"/>
      <c r="AC8" s="293"/>
      <c r="AD8" s="294"/>
      <c r="AE8" s="294"/>
      <c r="AF8" s="295"/>
      <c r="AG8" s="296"/>
      <c r="AH8" s="295"/>
      <c r="AI8" s="297"/>
      <c r="AJ8" s="290"/>
      <c r="AK8" s="263"/>
      <c r="AL8" s="263"/>
      <c r="AM8" s="263"/>
      <c r="AN8" s="263"/>
    </row>
    <row r="9" spans="1:40" ht="5.5" customHeight="1">
      <c r="A9" s="263"/>
      <c r="B9" s="648"/>
      <c r="C9" s="649"/>
      <c r="D9" s="649"/>
      <c r="E9" s="649"/>
      <c r="F9" s="649"/>
      <c r="G9" s="649"/>
      <c r="H9" s="650"/>
      <c r="I9" s="864"/>
      <c r="J9" s="688"/>
      <c r="K9" s="689"/>
      <c r="L9" s="681"/>
      <c r="M9" s="682"/>
      <c r="N9" s="690"/>
      <c r="O9" s="263"/>
      <c r="P9" s="263"/>
      <c r="Q9" s="263"/>
      <c r="R9" s="263"/>
      <c r="X9" s="298"/>
      <c r="Y9" s="298"/>
      <c r="Z9" s="298"/>
      <c r="AA9" s="298"/>
      <c r="AB9" s="298"/>
      <c r="AC9" s="298"/>
      <c r="AD9" s="299"/>
      <c r="AE9" s="299"/>
      <c r="AF9" s="295"/>
      <c r="AG9" s="300"/>
      <c r="AH9" s="295"/>
      <c r="AI9" s="317"/>
      <c r="AJ9" s="295"/>
      <c r="AK9" s="263"/>
      <c r="AL9" s="263"/>
      <c r="AM9" s="263"/>
      <c r="AN9" s="263"/>
    </row>
    <row r="10" spans="1:40" ht="5.5" customHeight="1">
      <c r="A10" s="263"/>
      <c r="B10" s="738" t="s">
        <v>2770</v>
      </c>
      <c r="C10" s="739"/>
      <c r="D10" s="739"/>
      <c r="E10" s="739"/>
      <c r="F10" s="739"/>
      <c r="G10" s="739"/>
      <c r="H10" s="842"/>
      <c r="I10" s="881">
        <v>1</v>
      </c>
      <c r="J10" s="686" t="s">
        <v>2108</v>
      </c>
      <c r="K10" s="667">
        <v>3500</v>
      </c>
      <c r="L10" s="665" t="str">
        <f>IF('из города'!$AG$9=3,"Дол.",IF('из города'!$AG$9=1,"Руб.","Грн."))</f>
        <v>Грн.</v>
      </c>
      <c r="M10" s="663">
        <f>I10*K10</f>
        <v>3500</v>
      </c>
      <c r="N10" s="651" t="str">
        <f>IF('из города'!$AG$9=3,"Дол.",IF('из города'!$AG$9=1,"Руб.","Грн."))</f>
        <v>Грн.</v>
      </c>
      <c r="O10" s="263"/>
      <c r="P10" s="263"/>
      <c r="Q10" s="263"/>
      <c r="R10" s="263"/>
      <c r="X10" s="298"/>
      <c r="Y10" s="298"/>
      <c r="Z10" s="298"/>
      <c r="AA10" s="298"/>
      <c r="AB10" s="298"/>
      <c r="AC10" s="298"/>
      <c r="AD10" s="299"/>
      <c r="AE10" s="299"/>
      <c r="AF10" s="295"/>
      <c r="AG10" s="300"/>
      <c r="AH10" s="295"/>
      <c r="AI10" s="317"/>
      <c r="AJ10" s="295"/>
      <c r="AK10" s="263"/>
      <c r="AL10" s="263"/>
      <c r="AM10" s="263"/>
      <c r="AN10" s="263"/>
    </row>
    <row r="11" spans="1:40" ht="5.5" customHeight="1">
      <c r="A11" s="263"/>
      <c r="B11" s="740"/>
      <c r="C11" s="741"/>
      <c r="D11" s="741"/>
      <c r="E11" s="741"/>
      <c r="F11" s="741"/>
      <c r="G11" s="741"/>
      <c r="H11" s="843"/>
      <c r="I11" s="882"/>
      <c r="J11" s="687"/>
      <c r="K11" s="668"/>
      <c r="L11" s="666"/>
      <c r="M11" s="664"/>
      <c r="N11" s="652"/>
      <c r="O11" s="263"/>
      <c r="P11" s="263"/>
      <c r="Q11" s="263"/>
      <c r="R11" s="263"/>
      <c r="X11" s="298"/>
      <c r="Y11" s="298"/>
      <c r="Z11" s="298"/>
      <c r="AA11" s="298"/>
      <c r="AB11" s="298"/>
      <c r="AC11" s="298"/>
      <c r="AD11" s="299"/>
      <c r="AE11" s="299"/>
      <c r="AF11" s="295"/>
      <c r="AG11" s="300"/>
      <c r="AH11" s="295"/>
      <c r="AI11" s="317"/>
      <c r="AJ11" s="295"/>
      <c r="AK11" s="263"/>
      <c r="AL11" s="263"/>
      <c r="AM11" s="263"/>
      <c r="AN11" s="263"/>
    </row>
    <row r="12" spans="1:40" ht="5.5" customHeight="1">
      <c r="A12" s="263"/>
      <c r="B12" s="742"/>
      <c r="C12" s="743"/>
      <c r="D12" s="743"/>
      <c r="E12" s="743"/>
      <c r="F12" s="743"/>
      <c r="G12" s="743"/>
      <c r="H12" s="844"/>
      <c r="I12" s="883"/>
      <c r="J12" s="688"/>
      <c r="K12" s="689"/>
      <c r="L12" s="681"/>
      <c r="M12" s="682"/>
      <c r="N12" s="690"/>
      <c r="O12" s="263"/>
      <c r="P12" s="263"/>
      <c r="Q12" s="263"/>
      <c r="R12" s="263"/>
      <c r="X12" s="298"/>
      <c r="Y12" s="298"/>
      <c r="Z12" s="298"/>
      <c r="AA12" s="298"/>
      <c r="AB12" s="298"/>
      <c r="AC12" s="298"/>
      <c r="AD12" s="299"/>
      <c r="AE12" s="299"/>
      <c r="AF12" s="295"/>
      <c r="AG12" s="300"/>
      <c r="AH12" s="295"/>
      <c r="AI12" s="317"/>
      <c r="AJ12" s="295"/>
      <c r="AK12" s="263"/>
      <c r="AL12" s="263"/>
      <c r="AM12" s="263"/>
      <c r="AN12" s="263"/>
    </row>
    <row r="13" spans="1:40" ht="5.5" customHeight="1">
      <c r="A13" s="263"/>
      <c r="B13" s="677" t="s">
        <v>2669</v>
      </c>
      <c r="C13" s="643"/>
      <c r="D13" s="643"/>
      <c r="E13" s="643"/>
      <c r="F13" s="643"/>
      <c r="G13" s="643"/>
      <c r="H13" s="644"/>
      <c r="I13" s="873">
        <v>1</v>
      </c>
      <c r="J13" s="686" t="s">
        <v>2108</v>
      </c>
      <c r="K13" s="667">
        <v>6900</v>
      </c>
      <c r="L13" s="665" t="str">
        <f>IF('из города'!$AG$9=3,"Дол.",IF('из города'!$AG$9=1,"Руб.","Грн."))</f>
        <v>Грн.</v>
      </c>
      <c r="M13" s="663">
        <f>I13*K13</f>
        <v>6900</v>
      </c>
      <c r="N13" s="651" t="str">
        <f>IF('из города'!$AG$9=3,"Дол.",IF('из города'!$AG$9=1,"Руб.","Грн."))</f>
        <v>Грн.</v>
      </c>
      <c r="O13" s="263"/>
      <c r="P13" s="263"/>
      <c r="Q13" s="263"/>
      <c r="R13" s="263"/>
      <c r="X13" s="298"/>
      <c r="Y13" s="298"/>
      <c r="Z13" s="298"/>
      <c r="AA13" s="298"/>
      <c r="AB13" s="298"/>
      <c r="AC13" s="298"/>
      <c r="AD13" s="299"/>
      <c r="AE13" s="299"/>
      <c r="AF13" s="295"/>
      <c r="AG13" s="300"/>
      <c r="AH13" s="295"/>
      <c r="AI13" s="317"/>
      <c r="AJ13" s="295"/>
      <c r="AK13" s="263"/>
      <c r="AL13" s="263"/>
      <c r="AM13" s="263"/>
      <c r="AN13" s="263"/>
    </row>
    <row r="14" spans="1:40" ht="5.5" customHeight="1">
      <c r="A14" s="263"/>
      <c r="B14" s="645"/>
      <c r="C14" s="646"/>
      <c r="D14" s="646"/>
      <c r="E14" s="646"/>
      <c r="F14" s="646"/>
      <c r="G14" s="646"/>
      <c r="H14" s="647"/>
      <c r="I14" s="879"/>
      <c r="J14" s="687"/>
      <c r="K14" s="668"/>
      <c r="L14" s="666"/>
      <c r="M14" s="664"/>
      <c r="N14" s="652"/>
      <c r="O14" s="263"/>
      <c r="P14" s="263"/>
      <c r="Q14" s="263"/>
      <c r="R14" s="263"/>
      <c r="X14" s="298"/>
      <c r="Y14" s="298"/>
      <c r="Z14" s="298"/>
      <c r="AA14" s="298"/>
      <c r="AB14" s="298"/>
      <c r="AC14" s="298"/>
      <c r="AD14" s="299"/>
      <c r="AE14" s="299"/>
      <c r="AF14" s="295"/>
      <c r="AG14" s="300"/>
      <c r="AH14" s="295"/>
      <c r="AI14" s="317"/>
      <c r="AJ14" s="295"/>
      <c r="AK14" s="263"/>
      <c r="AL14" s="263"/>
      <c r="AM14" s="263"/>
      <c r="AN14" s="263"/>
    </row>
    <row r="15" spans="1:40" ht="5.5" customHeight="1">
      <c r="A15" s="263"/>
      <c r="B15" s="648"/>
      <c r="C15" s="649"/>
      <c r="D15" s="649"/>
      <c r="E15" s="649"/>
      <c r="F15" s="649"/>
      <c r="G15" s="649"/>
      <c r="H15" s="650"/>
      <c r="I15" s="880"/>
      <c r="J15" s="688"/>
      <c r="K15" s="689"/>
      <c r="L15" s="681"/>
      <c r="M15" s="682"/>
      <c r="N15" s="690"/>
      <c r="O15" s="263"/>
      <c r="P15" s="263"/>
      <c r="Q15" s="263"/>
      <c r="R15" s="263"/>
      <c r="X15" s="298"/>
      <c r="Y15" s="298"/>
      <c r="Z15" s="298"/>
      <c r="AA15" s="298"/>
      <c r="AB15" s="298"/>
      <c r="AC15" s="298"/>
      <c r="AD15" s="299"/>
      <c r="AE15" s="299"/>
      <c r="AF15" s="295"/>
      <c r="AG15" s="300"/>
      <c r="AH15" s="295"/>
      <c r="AI15" s="317"/>
      <c r="AJ15" s="295"/>
      <c r="AK15" s="263"/>
      <c r="AL15" s="263"/>
      <c r="AM15" s="263"/>
      <c r="AN15" s="263"/>
    </row>
    <row r="16" spans="1:40" ht="5.5" customHeight="1">
      <c r="A16" s="263"/>
      <c r="B16" s="677" t="s">
        <v>2670</v>
      </c>
      <c r="C16" s="643"/>
      <c r="D16" s="643"/>
      <c r="E16" s="643"/>
      <c r="F16" s="643"/>
      <c r="G16" s="643"/>
      <c r="H16" s="644"/>
      <c r="I16" s="873">
        <v>1</v>
      </c>
      <c r="J16" s="686" t="s">
        <v>2155</v>
      </c>
      <c r="K16" s="667">
        <v>140</v>
      </c>
      <c r="L16" s="665" t="str">
        <f>IF('из города'!$AG$9=3,"Дол.",IF('из города'!$AG$9=1,"Руб.","Грн."))</f>
        <v>Грн.</v>
      </c>
      <c r="M16" s="663">
        <f>I16*K16</f>
        <v>140</v>
      </c>
      <c r="N16" s="651" t="str">
        <f>IF('из города'!$AG$9=3,"Дол.",IF('из города'!$AG$9=1,"Руб.","Грн."))</f>
        <v>Грн.</v>
      </c>
      <c r="O16" s="263"/>
      <c r="P16" s="263"/>
      <c r="Q16" s="263"/>
      <c r="R16" s="263"/>
      <c r="X16" s="298"/>
      <c r="Y16" s="298"/>
      <c r="Z16" s="298"/>
      <c r="AA16" s="298"/>
      <c r="AB16" s="298"/>
      <c r="AC16" s="298"/>
      <c r="AD16" s="299"/>
      <c r="AE16" s="299"/>
      <c r="AF16" s="295"/>
      <c r="AG16" s="300"/>
      <c r="AH16" s="295"/>
      <c r="AI16" s="317"/>
      <c r="AJ16" s="295"/>
      <c r="AK16" s="263"/>
      <c r="AL16" s="263"/>
      <c r="AM16" s="263"/>
      <c r="AN16" s="263"/>
    </row>
    <row r="17" spans="1:40" ht="5.5" customHeight="1">
      <c r="A17" s="263"/>
      <c r="B17" s="645"/>
      <c r="C17" s="646"/>
      <c r="D17" s="646"/>
      <c r="E17" s="646"/>
      <c r="F17" s="646"/>
      <c r="G17" s="646"/>
      <c r="H17" s="647"/>
      <c r="I17" s="874"/>
      <c r="J17" s="687"/>
      <c r="K17" s="668"/>
      <c r="L17" s="666"/>
      <c r="M17" s="664"/>
      <c r="N17" s="652"/>
      <c r="O17" s="263"/>
      <c r="P17" s="263"/>
      <c r="Q17" s="263"/>
      <c r="R17" s="263"/>
      <c r="X17" s="298"/>
      <c r="Y17" s="298"/>
      <c r="Z17" s="298"/>
      <c r="AA17" s="298"/>
      <c r="AB17" s="298"/>
      <c r="AC17" s="298"/>
      <c r="AD17" s="299"/>
      <c r="AE17" s="299"/>
      <c r="AF17" s="295"/>
      <c r="AG17" s="300"/>
      <c r="AH17" s="295"/>
      <c r="AI17" s="317"/>
      <c r="AJ17" s="295"/>
      <c r="AK17" s="263"/>
      <c r="AL17" s="263"/>
      <c r="AM17" s="263"/>
      <c r="AN17" s="263"/>
    </row>
    <row r="18" spans="1:40" ht="5.5" customHeight="1">
      <c r="A18" s="263"/>
      <c r="B18" s="648"/>
      <c r="C18" s="649"/>
      <c r="D18" s="649"/>
      <c r="E18" s="649"/>
      <c r="F18" s="649"/>
      <c r="G18" s="649"/>
      <c r="H18" s="650"/>
      <c r="I18" s="875"/>
      <c r="J18" s="688"/>
      <c r="K18" s="689"/>
      <c r="L18" s="681"/>
      <c r="M18" s="682"/>
      <c r="N18" s="690"/>
      <c r="O18" s="263"/>
      <c r="P18" s="263"/>
      <c r="Q18" s="263"/>
      <c r="R18" s="263"/>
      <c r="X18" s="309"/>
      <c r="Y18" s="309"/>
      <c r="Z18" s="309"/>
      <c r="AA18" s="309"/>
      <c r="AB18" s="309"/>
      <c r="AC18" s="309"/>
      <c r="AD18" s="299"/>
      <c r="AE18" s="299"/>
      <c r="AF18" s="295"/>
      <c r="AG18" s="300"/>
      <c r="AH18" s="295"/>
      <c r="AI18" s="317"/>
      <c r="AJ18" s="295"/>
      <c r="AK18" s="263"/>
      <c r="AL18" s="263"/>
      <c r="AM18" s="263"/>
      <c r="AN18" s="263"/>
    </row>
    <row r="19" spans="1:40" ht="5.5" customHeight="1">
      <c r="A19" s="263"/>
      <c r="B19" s="677" t="s">
        <v>2671</v>
      </c>
      <c r="C19" s="643"/>
      <c r="D19" s="643"/>
      <c r="E19" s="643"/>
      <c r="F19" s="643"/>
      <c r="G19" s="643"/>
      <c r="H19" s="644"/>
      <c r="I19" s="870">
        <v>1</v>
      </c>
      <c r="J19" s="686" t="s">
        <v>13</v>
      </c>
      <c r="K19" s="667">
        <v>7</v>
      </c>
      <c r="L19" s="665" t="str">
        <f>IF('из города'!$AG$9=3,"Дол.",IF('из города'!$AG$9=1,"Руб.","Грн."))</f>
        <v>Грн.</v>
      </c>
      <c r="M19" s="663">
        <f>I19*K19</f>
        <v>7</v>
      </c>
      <c r="N19" s="651" t="str">
        <f>IF('из города'!$AG$9=3,"Дол.",IF('из города'!$AG$9=1,"Руб.","Грн."))</f>
        <v>Грн.</v>
      </c>
      <c r="O19" s="263"/>
      <c r="P19" s="263"/>
      <c r="Q19" s="263"/>
      <c r="R19" s="263"/>
      <c r="X19" s="309"/>
      <c r="Y19" s="309"/>
      <c r="Z19" s="309"/>
      <c r="AA19" s="309"/>
      <c r="AB19" s="309"/>
      <c r="AC19" s="309"/>
      <c r="AD19" s="299"/>
      <c r="AE19" s="299"/>
      <c r="AF19" s="295"/>
      <c r="AG19" s="300"/>
      <c r="AH19" s="295"/>
      <c r="AI19" s="317"/>
      <c r="AJ19" s="295"/>
      <c r="AK19" s="263"/>
      <c r="AL19" s="263"/>
      <c r="AM19" s="263"/>
      <c r="AN19" s="263"/>
    </row>
    <row r="20" spans="1:40" ht="5.5" customHeight="1">
      <c r="A20" s="263"/>
      <c r="B20" s="645"/>
      <c r="C20" s="646"/>
      <c r="D20" s="646"/>
      <c r="E20" s="646"/>
      <c r="F20" s="646"/>
      <c r="G20" s="646"/>
      <c r="H20" s="647"/>
      <c r="I20" s="871"/>
      <c r="J20" s="687"/>
      <c r="K20" s="668"/>
      <c r="L20" s="666"/>
      <c r="M20" s="664"/>
      <c r="N20" s="652"/>
      <c r="O20" s="263"/>
      <c r="P20" s="263"/>
      <c r="Q20" s="263"/>
      <c r="R20" s="263"/>
      <c r="X20" s="309"/>
      <c r="Y20" s="309"/>
      <c r="Z20" s="309"/>
      <c r="AA20" s="309"/>
      <c r="AB20" s="309"/>
      <c r="AC20" s="309"/>
      <c r="AD20" s="299"/>
      <c r="AE20" s="299"/>
      <c r="AF20" s="295"/>
      <c r="AG20" s="300"/>
      <c r="AH20" s="295"/>
      <c r="AI20" s="317"/>
      <c r="AJ20" s="295"/>
      <c r="AK20" s="263"/>
      <c r="AL20" s="263"/>
      <c r="AM20" s="263"/>
      <c r="AN20" s="263"/>
    </row>
    <row r="21" spans="1:40" ht="5.5" customHeight="1">
      <c r="A21" s="263"/>
      <c r="B21" s="648"/>
      <c r="C21" s="649"/>
      <c r="D21" s="649"/>
      <c r="E21" s="649"/>
      <c r="F21" s="649"/>
      <c r="G21" s="649"/>
      <c r="H21" s="650"/>
      <c r="I21" s="872"/>
      <c r="J21" s="688"/>
      <c r="K21" s="689"/>
      <c r="L21" s="681"/>
      <c r="M21" s="682"/>
      <c r="N21" s="690"/>
      <c r="O21" s="263"/>
      <c r="P21" s="263"/>
      <c r="Q21" s="263"/>
      <c r="R21" s="263"/>
      <c r="X21" s="298"/>
      <c r="Y21" s="298"/>
      <c r="Z21" s="298"/>
      <c r="AA21" s="298"/>
      <c r="AB21" s="298"/>
      <c r="AC21" s="298"/>
      <c r="AD21" s="299"/>
      <c r="AE21" s="299"/>
      <c r="AF21" s="295"/>
      <c r="AG21" s="300"/>
      <c r="AH21" s="295"/>
      <c r="AI21" s="317"/>
      <c r="AJ21" s="295"/>
      <c r="AK21" s="263"/>
      <c r="AL21" s="263"/>
      <c r="AM21" s="263"/>
      <c r="AN21" s="263"/>
    </row>
    <row r="22" spans="1:40" ht="5.5" customHeight="1">
      <c r="A22" s="263"/>
      <c r="B22" s="677" t="s">
        <v>2672</v>
      </c>
      <c r="C22" s="643"/>
      <c r="D22" s="643"/>
      <c r="E22" s="643"/>
      <c r="F22" s="643"/>
      <c r="G22" s="643"/>
      <c r="H22" s="644"/>
      <c r="I22" s="876">
        <v>1</v>
      </c>
      <c r="J22" s="686" t="s">
        <v>13</v>
      </c>
      <c r="K22" s="667">
        <v>15</v>
      </c>
      <c r="L22" s="665" t="str">
        <f>IF('из города'!$AG$9=3,"Дол.",IF('из города'!$AG$9=1,"Руб.","Грн."))</f>
        <v>Грн.</v>
      </c>
      <c r="M22" s="663">
        <f>I22*K22</f>
        <v>15</v>
      </c>
      <c r="N22" s="651" t="str">
        <f>IF('из города'!$AG$9=3,"Дол.",IF('из города'!$AG$9=1,"Руб.","Грн."))</f>
        <v>Грн.</v>
      </c>
      <c r="O22" s="263"/>
      <c r="P22" s="263"/>
      <c r="Q22" s="263"/>
      <c r="R22" s="263"/>
      <c r="X22" s="298"/>
      <c r="Y22" s="298"/>
      <c r="Z22" s="298"/>
      <c r="AA22" s="298"/>
      <c r="AB22" s="298"/>
      <c r="AC22" s="298"/>
      <c r="AD22" s="299"/>
      <c r="AE22" s="299"/>
      <c r="AF22" s="295"/>
      <c r="AG22" s="300"/>
      <c r="AH22" s="295"/>
      <c r="AI22" s="317"/>
      <c r="AJ22" s="295"/>
      <c r="AK22" s="263"/>
      <c r="AL22" s="263"/>
      <c r="AM22" s="263"/>
      <c r="AN22" s="263"/>
    </row>
    <row r="23" spans="1:40" ht="5.5" customHeight="1">
      <c r="A23" s="263"/>
      <c r="B23" s="645"/>
      <c r="C23" s="646"/>
      <c r="D23" s="646"/>
      <c r="E23" s="646"/>
      <c r="F23" s="646"/>
      <c r="G23" s="646"/>
      <c r="H23" s="647"/>
      <c r="I23" s="877"/>
      <c r="J23" s="687"/>
      <c r="K23" s="668"/>
      <c r="L23" s="666"/>
      <c r="M23" s="664"/>
      <c r="N23" s="652"/>
      <c r="O23" s="263"/>
      <c r="P23" s="263"/>
      <c r="Q23" s="263"/>
      <c r="R23" s="263"/>
      <c r="X23" s="298"/>
      <c r="Y23" s="298"/>
      <c r="Z23" s="298"/>
      <c r="AA23" s="298"/>
      <c r="AB23" s="298"/>
      <c r="AC23" s="298"/>
      <c r="AD23" s="299"/>
      <c r="AE23" s="299"/>
      <c r="AF23" s="295"/>
      <c r="AG23" s="300"/>
      <c r="AH23" s="295"/>
      <c r="AI23" s="317"/>
      <c r="AJ23" s="295"/>
      <c r="AK23" s="263"/>
      <c r="AL23" s="263"/>
      <c r="AM23" s="263"/>
      <c r="AN23" s="263"/>
    </row>
    <row r="24" spans="1:40" ht="5.5" customHeight="1">
      <c r="A24" s="263"/>
      <c r="B24" s="648"/>
      <c r="C24" s="649"/>
      <c r="D24" s="649"/>
      <c r="E24" s="649"/>
      <c r="F24" s="649"/>
      <c r="G24" s="649"/>
      <c r="H24" s="650"/>
      <c r="I24" s="878"/>
      <c r="J24" s="688"/>
      <c r="K24" s="689"/>
      <c r="L24" s="681"/>
      <c r="M24" s="682"/>
      <c r="N24" s="690"/>
      <c r="O24" s="263"/>
      <c r="P24" s="263"/>
      <c r="Q24" s="263"/>
      <c r="R24" s="263"/>
      <c r="X24" s="298"/>
      <c r="Y24" s="298"/>
      <c r="Z24" s="298"/>
      <c r="AA24" s="298"/>
      <c r="AB24" s="298"/>
      <c r="AC24" s="298"/>
      <c r="AD24" s="299"/>
      <c r="AE24" s="299"/>
      <c r="AF24" s="295"/>
      <c r="AG24" s="300"/>
      <c r="AH24" s="295"/>
      <c r="AI24" s="317"/>
      <c r="AJ24" s="295"/>
      <c r="AK24" s="263"/>
      <c r="AL24" s="263"/>
      <c r="AM24" s="263"/>
      <c r="AN24" s="263"/>
    </row>
    <row r="25" spans="1:40" ht="5.5" customHeight="1">
      <c r="A25" s="263"/>
      <c r="B25" s="677" t="s">
        <v>2678</v>
      </c>
      <c r="C25" s="643"/>
      <c r="D25" s="643"/>
      <c r="E25" s="643"/>
      <c r="F25" s="643"/>
      <c r="G25" s="643"/>
      <c r="H25" s="644"/>
      <c r="I25" s="865">
        <v>1</v>
      </c>
      <c r="J25" s="686" t="s">
        <v>2155</v>
      </c>
      <c r="K25" s="667">
        <v>60</v>
      </c>
      <c r="L25" s="665" t="str">
        <f>IF('из города'!$AG$9=3,"Дол.",IF('из города'!$AG$9=1,"Руб.","Грн."))</f>
        <v>Грн.</v>
      </c>
      <c r="M25" s="663">
        <f>I25*K25</f>
        <v>60</v>
      </c>
      <c r="N25" s="651" t="str">
        <f>IF('из города'!$AG$9=3,"Дол.",IF('из города'!$AG$9=1,"Руб.","Грн."))</f>
        <v>Грн.</v>
      </c>
      <c r="O25" s="263"/>
      <c r="P25" s="263"/>
      <c r="Q25" s="263"/>
      <c r="R25" s="263"/>
      <c r="X25" s="298"/>
      <c r="Y25" s="298"/>
      <c r="Z25" s="298"/>
      <c r="AA25" s="298"/>
      <c r="AB25" s="298"/>
      <c r="AC25" s="298"/>
      <c r="AD25" s="299"/>
      <c r="AE25" s="299"/>
      <c r="AF25" s="295"/>
      <c r="AG25" s="300"/>
      <c r="AH25" s="295"/>
      <c r="AI25" s="317"/>
      <c r="AJ25" s="295"/>
      <c r="AK25" s="263"/>
      <c r="AL25" s="263"/>
      <c r="AM25" s="263"/>
      <c r="AN25" s="263"/>
    </row>
    <row r="26" spans="1:40" ht="5.5" customHeight="1">
      <c r="A26" s="263"/>
      <c r="B26" s="645"/>
      <c r="C26" s="646"/>
      <c r="D26" s="646"/>
      <c r="E26" s="646"/>
      <c r="F26" s="646"/>
      <c r="G26" s="646"/>
      <c r="H26" s="647"/>
      <c r="I26" s="865"/>
      <c r="J26" s="687"/>
      <c r="K26" s="668"/>
      <c r="L26" s="666"/>
      <c r="M26" s="664"/>
      <c r="N26" s="652"/>
      <c r="O26" s="263"/>
      <c r="P26" s="263"/>
      <c r="Q26" s="263"/>
      <c r="R26" s="263"/>
      <c r="X26" s="298"/>
      <c r="Y26" s="298"/>
      <c r="Z26" s="298"/>
      <c r="AA26" s="298"/>
      <c r="AB26" s="298"/>
      <c r="AC26" s="298"/>
      <c r="AD26" s="299"/>
      <c r="AE26" s="299"/>
      <c r="AF26" s="295"/>
      <c r="AG26" s="300"/>
      <c r="AH26" s="295"/>
      <c r="AI26" s="317"/>
      <c r="AJ26" s="295"/>
      <c r="AK26" s="263"/>
      <c r="AL26" s="263"/>
      <c r="AM26" s="263"/>
      <c r="AN26" s="263"/>
    </row>
    <row r="27" spans="1:40" ht="5.5" customHeight="1">
      <c r="A27" s="263"/>
      <c r="B27" s="648"/>
      <c r="C27" s="649"/>
      <c r="D27" s="649"/>
      <c r="E27" s="649"/>
      <c r="F27" s="649"/>
      <c r="G27" s="649"/>
      <c r="H27" s="650"/>
      <c r="I27" s="866"/>
      <c r="J27" s="688"/>
      <c r="K27" s="689"/>
      <c r="L27" s="681"/>
      <c r="M27" s="682"/>
      <c r="N27" s="690"/>
      <c r="O27" s="263"/>
      <c r="P27" s="263"/>
      <c r="Q27" s="263"/>
      <c r="R27" s="263"/>
      <c r="X27" s="298"/>
      <c r="Y27" s="298"/>
      <c r="Z27" s="298"/>
      <c r="AA27" s="298"/>
      <c r="AB27" s="298"/>
      <c r="AC27" s="298"/>
      <c r="AD27" s="299"/>
      <c r="AE27" s="299"/>
      <c r="AF27" s="295"/>
      <c r="AG27" s="300"/>
      <c r="AH27" s="295"/>
      <c r="AI27" s="317"/>
      <c r="AJ27" s="295"/>
      <c r="AK27" s="263"/>
      <c r="AL27" s="263"/>
      <c r="AM27" s="263"/>
      <c r="AN27" s="263"/>
    </row>
    <row r="28" spans="1:40" ht="5.5" customHeight="1">
      <c r="A28" s="263"/>
      <c r="B28" s="677" t="s">
        <v>2769</v>
      </c>
      <c r="C28" s="643"/>
      <c r="D28" s="643"/>
      <c r="E28" s="643"/>
      <c r="F28" s="643"/>
      <c r="G28" s="643"/>
      <c r="H28" s="644"/>
      <c r="I28" s="865">
        <v>1</v>
      </c>
      <c r="J28" s="686" t="s">
        <v>2155</v>
      </c>
      <c r="K28" s="667">
        <v>80</v>
      </c>
      <c r="L28" s="665" t="str">
        <f>IF('из города'!$AG$9=3,"Дол.",IF('из города'!$AG$9=1,"Руб.","Грн."))</f>
        <v>Грн.</v>
      </c>
      <c r="M28" s="663">
        <f>I28*K28</f>
        <v>80</v>
      </c>
      <c r="N28" s="651" t="str">
        <f>IF('из города'!$AG$9=3,"Дол.",IF('из города'!$AG$9=1,"Руб.","Грн."))</f>
        <v>Грн.</v>
      </c>
      <c r="O28" s="263"/>
      <c r="P28" s="263"/>
      <c r="Q28" s="263"/>
      <c r="R28" s="263"/>
      <c r="X28" s="298"/>
      <c r="Y28" s="298"/>
      <c r="Z28" s="298"/>
      <c r="AA28" s="298"/>
      <c r="AB28" s="298"/>
      <c r="AC28" s="298"/>
      <c r="AD28" s="299"/>
      <c r="AE28" s="299"/>
      <c r="AF28" s="295"/>
      <c r="AG28" s="300"/>
      <c r="AH28" s="295"/>
      <c r="AI28" s="317"/>
      <c r="AJ28" s="295"/>
      <c r="AK28" s="263"/>
      <c r="AL28" s="263"/>
      <c r="AM28" s="263"/>
      <c r="AN28" s="263"/>
    </row>
    <row r="29" spans="1:40" ht="5.5" customHeight="1">
      <c r="A29" s="263"/>
      <c r="B29" s="645"/>
      <c r="C29" s="646"/>
      <c r="D29" s="646"/>
      <c r="E29" s="646"/>
      <c r="F29" s="646"/>
      <c r="G29" s="646"/>
      <c r="H29" s="647"/>
      <c r="I29" s="865"/>
      <c r="J29" s="687"/>
      <c r="K29" s="668"/>
      <c r="L29" s="666"/>
      <c r="M29" s="664"/>
      <c r="N29" s="652"/>
      <c r="O29" s="263"/>
      <c r="P29" s="263"/>
      <c r="Q29" s="263"/>
      <c r="R29" s="263"/>
      <c r="X29" s="298"/>
      <c r="Y29" s="298"/>
      <c r="Z29" s="298"/>
      <c r="AA29" s="298"/>
      <c r="AB29" s="298"/>
      <c r="AC29" s="298"/>
      <c r="AD29" s="299"/>
      <c r="AE29" s="299"/>
      <c r="AF29" s="295"/>
      <c r="AG29" s="300"/>
      <c r="AH29" s="295"/>
      <c r="AI29" s="317"/>
      <c r="AJ29" s="295"/>
      <c r="AK29" s="263"/>
      <c r="AL29" s="263"/>
      <c r="AM29" s="263"/>
      <c r="AN29" s="263"/>
    </row>
    <row r="30" spans="1:40" ht="5.5" customHeight="1">
      <c r="A30" s="263"/>
      <c r="B30" s="648"/>
      <c r="C30" s="649"/>
      <c r="D30" s="649"/>
      <c r="E30" s="649"/>
      <c r="F30" s="649"/>
      <c r="G30" s="649"/>
      <c r="H30" s="650"/>
      <c r="I30" s="866"/>
      <c r="J30" s="688"/>
      <c r="K30" s="689"/>
      <c r="L30" s="681"/>
      <c r="M30" s="682"/>
      <c r="N30" s="690"/>
      <c r="O30" s="263"/>
      <c r="P30" s="263"/>
      <c r="Q30" s="263"/>
      <c r="R30" s="263"/>
      <c r="X30" s="298"/>
      <c r="Y30" s="298"/>
      <c r="Z30" s="298"/>
      <c r="AA30" s="298"/>
      <c r="AB30" s="298"/>
      <c r="AC30" s="298"/>
      <c r="AD30" s="299"/>
      <c r="AE30" s="299"/>
      <c r="AF30" s="295"/>
      <c r="AG30" s="300"/>
      <c r="AH30" s="295"/>
      <c r="AI30" s="317"/>
      <c r="AJ30" s="295"/>
      <c r="AK30" s="263"/>
      <c r="AL30" s="263"/>
      <c r="AM30" s="263"/>
      <c r="AN30" s="263"/>
    </row>
    <row r="31" spans="1:40" ht="5.5" customHeight="1">
      <c r="A31" s="263"/>
      <c r="B31" s="645" t="s">
        <v>2750</v>
      </c>
      <c r="C31" s="646"/>
      <c r="D31" s="646"/>
      <c r="E31" s="646"/>
      <c r="F31" s="646"/>
      <c r="G31" s="646"/>
      <c r="H31" s="647"/>
      <c r="I31" s="870">
        <v>1</v>
      </c>
      <c r="J31" s="686" t="s">
        <v>2108</v>
      </c>
      <c r="K31" s="667">
        <v>200</v>
      </c>
      <c r="L31" s="665" t="str">
        <f>IF('из города'!$AG$9=3,"Дол.",IF('из города'!$AG$9=1,"Руб.","Грн."))</f>
        <v>Грн.</v>
      </c>
      <c r="M31" s="663">
        <f>I31*K31</f>
        <v>200</v>
      </c>
      <c r="N31" s="651" t="str">
        <f>IF('из города'!$AG$9=3,"Дол.",IF('из города'!$AG$9=1,"Руб.","Грн."))</f>
        <v>Грн.</v>
      </c>
      <c r="O31" s="263"/>
      <c r="P31" s="263"/>
      <c r="Q31" s="263"/>
      <c r="R31" s="263"/>
      <c r="X31" s="298"/>
      <c r="Y31" s="298"/>
      <c r="Z31" s="298"/>
      <c r="AA31" s="298"/>
      <c r="AB31" s="298"/>
      <c r="AC31" s="298"/>
      <c r="AD31" s="299"/>
      <c r="AE31" s="299"/>
      <c r="AF31" s="295"/>
      <c r="AG31" s="300"/>
      <c r="AH31" s="295"/>
      <c r="AI31" s="317"/>
      <c r="AJ31" s="295"/>
      <c r="AK31" s="263"/>
      <c r="AL31" s="263"/>
      <c r="AM31" s="263"/>
      <c r="AN31" s="263"/>
    </row>
    <row r="32" spans="1:40" ht="5.5" customHeight="1">
      <c r="A32" s="263"/>
      <c r="B32" s="645"/>
      <c r="C32" s="646"/>
      <c r="D32" s="646"/>
      <c r="E32" s="646"/>
      <c r="F32" s="646"/>
      <c r="G32" s="646"/>
      <c r="H32" s="647"/>
      <c r="I32" s="871"/>
      <c r="J32" s="687"/>
      <c r="K32" s="668"/>
      <c r="L32" s="666"/>
      <c r="M32" s="664"/>
      <c r="N32" s="652"/>
      <c r="O32" s="263"/>
      <c r="P32" s="263"/>
      <c r="Q32" s="263"/>
      <c r="R32" s="263"/>
      <c r="X32" s="298"/>
      <c r="Y32" s="298"/>
      <c r="Z32" s="298"/>
      <c r="AA32" s="298"/>
      <c r="AB32" s="298"/>
      <c r="AC32" s="298"/>
      <c r="AD32" s="299"/>
      <c r="AE32" s="299"/>
      <c r="AF32" s="295"/>
      <c r="AG32" s="300"/>
      <c r="AH32" s="295"/>
      <c r="AI32" s="317"/>
      <c r="AJ32" s="295"/>
      <c r="AK32" s="263"/>
      <c r="AL32" s="263"/>
      <c r="AM32" s="263"/>
      <c r="AN32" s="263"/>
    </row>
    <row r="33" spans="1:40" ht="5.5" customHeight="1">
      <c r="A33" s="263"/>
      <c r="B33" s="648"/>
      <c r="C33" s="649"/>
      <c r="D33" s="649"/>
      <c r="E33" s="649"/>
      <c r="F33" s="649"/>
      <c r="G33" s="649"/>
      <c r="H33" s="650"/>
      <c r="I33" s="872"/>
      <c r="J33" s="688"/>
      <c r="K33" s="689"/>
      <c r="L33" s="681"/>
      <c r="M33" s="682"/>
      <c r="N33" s="690"/>
      <c r="O33" s="263"/>
      <c r="P33" s="263"/>
      <c r="Q33" s="263"/>
      <c r="R33" s="263"/>
      <c r="X33" s="301"/>
      <c r="Y33" s="301"/>
      <c r="Z33" s="301"/>
      <c r="AA33" s="301"/>
      <c r="AB33" s="301"/>
      <c r="AC33" s="301"/>
      <c r="AD33" s="299"/>
      <c r="AE33" s="299"/>
      <c r="AF33" s="295"/>
      <c r="AG33" s="300"/>
      <c r="AH33" s="295"/>
      <c r="AI33" s="317"/>
      <c r="AJ33" s="295"/>
      <c r="AK33" s="263"/>
      <c r="AL33" s="263"/>
      <c r="AM33" s="263"/>
      <c r="AN33" s="263"/>
    </row>
    <row r="34" spans="1:40" ht="5.5" customHeight="1">
      <c r="A34" s="263"/>
      <c r="B34" s="677" t="s">
        <v>2767</v>
      </c>
      <c r="C34" s="643"/>
      <c r="D34" s="643"/>
      <c r="E34" s="643"/>
      <c r="F34" s="643"/>
      <c r="G34" s="643"/>
      <c r="H34" s="644"/>
      <c r="I34" s="873">
        <v>1</v>
      </c>
      <c r="J34" s="686" t="s">
        <v>20</v>
      </c>
      <c r="K34" s="667">
        <v>350</v>
      </c>
      <c r="L34" s="665" t="str">
        <f>IF('из города'!$AG$9=3,"Дол.",IF('из города'!$AG$9=1,"Руб.","Грн."))</f>
        <v>Грн.</v>
      </c>
      <c r="M34" s="663">
        <f>I34*K34</f>
        <v>350</v>
      </c>
      <c r="N34" s="651" t="str">
        <f>IF('из города'!$AG$9=3,"Дол.",IF('из города'!$AG$9=1,"Руб.","Грн."))</f>
        <v>Грн.</v>
      </c>
      <c r="O34" s="263"/>
      <c r="P34" s="263"/>
      <c r="Q34" s="263"/>
      <c r="R34" s="263"/>
      <c r="X34" s="301"/>
      <c r="Y34" s="301"/>
      <c r="Z34" s="301"/>
      <c r="AA34" s="301"/>
      <c r="AB34" s="301"/>
      <c r="AC34" s="301"/>
      <c r="AD34" s="299"/>
      <c r="AE34" s="299"/>
      <c r="AF34" s="295"/>
      <c r="AG34" s="300"/>
      <c r="AH34" s="295"/>
      <c r="AI34" s="317"/>
      <c r="AJ34" s="295"/>
      <c r="AK34" s="263"/>
      <c r="AL34" s="263"/>
      <c r="AM34" s="263"/>
      <c r="AN34" s="263"/>
    </row>
    <row r="35" spans="1:40" ht="5.5" customHeight="1">
      <c r="A35" s="263"/>
      <c r="B35" s="645"/>
      <c r="C35" s="646"/>
      <c r="D35" s="646"/>
      <c r="E35" s="646"/>
      <c r="F35" s="646"/>
      <c r="G35" s="646"/>
      <c r="H35" s="647"/>
      <c r="I35" s="874"/>
      <c r="J35" s="687"/>
      <c r="K35" s="668"/>
      <c r="L35" s="666"/>
      <c r="M35" s="664"/>
      <c r="N35" s="652"/>
      <c r="O35" s="263"/>
      <c r="P35" s="263"/>
      <c r="Q35" s="263"/>
      <c r="R35" s="263"/>
      <c r="X35" s="301"/>
      <c r="Y35" s="301"/>
      <c r="Z35" s="301"/>
      <c r="AA35" s="301"/>
      <c r="AB35" s="301"/>
      <c r="AC35" s="301"/>
      <c r="AD35" s="299"/>
      <c r="AE35" s="299"/>
      <c r="AF35" s="295"/>
      <c r="AG35" s="300"/>
      <c r="AH35" s="295"/>
      <c r="AI35" s="317"/>
      <c r="AJ35" s="295"/>
      <c r="AK35" s="263"/>
      <c r="AL35" s="263"/>
      <c r="AM35" s="263"/>
      <c r="AN35" s="263"/>
    </row>
    <row r="36" spans="1:40" ht="5.5" customHeight="1">
      <c r="A36" s="263"/>
      <c r="B36" s="648"/>
      <c r="C36" s="649"/>
      <c r="D36" s="649"/>
      <c r="E36" s="649"/>
      <c r="F36" s="649"/>
      <c r="G36" s="649"/>
      <c r="H36" s="650"/>
      <c r="I36" s="875"/>
      <c r="J36" s="688"/>
      <c r="K36" s="689"/>
      <c r="L36" s="681"/>
      <c r="M36" s="682"/>
      <c r="N36" s="690"/>
      <c r="O36" s="263"/>
      <c r="P36" s="263"/>
      <c r="Q36" s="263"/>
      <c r="R36" s="263"/>
      <c r="X36" s="301"/>
      <c r="Y36" s="301"/>
      <c r="Z36" s="301"/>
      <c r="AA36" s="301"/>
      <c r="AB36" s="301"/>
      <c r="AC36" s="301"/>
      <c r="AD36" s="299"/>
      <c r="AE36" s="299"/>
      <c r="AF36" s="295"/>
      <c r="AG36" s="300"/>
      <c r="AH36" s="295"/>
      <c r="AI36" s="317"/>
      <c r="AJ36" s="295"/>
      <c r="AK36" s="263"/>
      <c r="AL36" s="263"/>
      <c r="AM36" s="263"/>
      <c r="AN36" s="263"/>
    </row>
    <row r="37" spans="1:40" ht="5.5" customHeight="1">
      <c r="A37" s="263"/>
      <c r="B37" s="677" t="s">
        <v>2109</v>
      </c>
      <c r="C37" s="643"/>
      <c r="D37" s="643"/>
      <c r="E37" s="643"/>
      <c r="F37" s="643"/>
      <c r="G37" s="643"/>
      <c r="H37" s="644"/>
      <c r="I37" s="870">
        <v>1</v>
      </c>
      <c r="J37" s="686" t="s">
        <v>2639</v>
      </c>
      <c r="K37" s="667">
        <v>30</v>
      </c>
      <c r="L37" s="665" t="str">
        <f>IF('из города'!$AG$9=3,"Дол.",IF('из города'!$AG$9=1,"Руб.","Грн."))</f>
        <v>Грн.</v>
      </c>
      <c r="M37" s="663">
        <f>I37*K37</f>
        <v>30</v>
      </c>
      <c r="N37" s="651" t="str">
        <f>IF('из города'!$AG$9=3,"Дол.",IF('из города'!$AG$9=1,"Руб.","Грн."))</f>
        <v>Грн.</v>
      </c>
      <c r="O37" s="263"/>
      <c r="P37" s="263"/>
      <c r="Q37" s="263"/>
      <c r="R37" s="263"/>
      <c r="X37" s="301"/>
      <c r="Y37" s="301"/>
      <c r="Z37" s="301"/>
      <c r="AA37" s="301"/>
      <c r="AB37" s="301"/>
      <c r="AC37" s="301"/>
      <c r="AD37" s="299"/>
      <c r="AE37" s="299"/>
      <c r="AF37" s="295"/>
      <c r="AG37" s="300"/>
      <c r="AH37" s="295"/>
      <c r="AI37" s="317"/>
      <c r="AJ37" s="295"/>
      <c r="AK37" s="263"/>
      <c r="AL37" s="263"/>
      <c r="AM37" s="263"/>
      <c r="AN37" s="263"/>
    </row>
    <row r="38" spans="1:40" ht="5.5" customHeight="1">
      <c r="A38" s="263"/>
      <c r="B38" s="645"/>
      <c r="C38" s="646"/>
      <c r="D38" s="646"/>
      <c r="E38" s="646"/>
      <c r="F38" s="646"/>
      <c r="G38" s="646"/>
      <c r="H38" s="647"/>
      <c r="I38" s="871"/>
      <c r="J38" s="687"/>
      <c r="K38" s="668"/>
      <c r="L38" s="666"/>
      <c r="M38" s="664"/>
      <c r="N38" s="652"/>
      <c r="O38" s="263"/>
      <c r="P38" s="263"/>
      <c r="Q38" s="263"/>
      <c r="R38" s="263"/>
      <c r="X38" s="301"/>
      <c r="Y38" s="301"/>
      <c r="Z38" s="301"/>
      <c r="AA38" s="301"/>
      <c r="AB38" s="301"/>
      <c r="AC38" s="301"/>
      <c r="AD38" s="299"/>
      <c r="AE38" s="299"/>
      <c r="AF38" s="295"/>
      <c r="AG38" s="300"/>
      <c r="AH38" s="295"/>
      <c r="AI38" s="317"/>
      <c r="AJ38" s="295"/>
      <c r="AK38" s="263"/>
      <c r="AL38" s="263"/>
      <c r="AM38" s="263"/>
      <c r="AN38" s="263"/>
    </row>
    <row r="39" spans="1:40" ht="5.5" customHeight="1">
      <c r="A39" s="263"/>
      <c r="B39" s="648"/>
      <c r="C39" s="649"/>
      <c r="D39" s="649"/>
      <c r="E39" s="649"/>
      <c r="F39" s="649"/>
      <c r="G39" s="649"/>
      <c r="H39" s="650"/>
      <c r="I39" s="872"/>
      <c r="J39" s="688"/>
      <c r="K39" s="689"/>
      <c r="L39" s="681"/>
      <c r="M39" s="682"/>
      <c r="N39" s="690"/>
      <c r="O39" s="263"/>
      <c r="P39" s="263"/>
      <c r="Q39" s="263"/>
      <c r="R39" s="263"/>
      <c r="X39" s="301"/>
      <c r="Y39" s="301"/>
      <c r="Z39" s="301"/>
      <c r="AA39" s="301"/>
      <c r="AB39" s="301"/>
      <c r="AC39" s="301"/>
      <c r="AD39" s="299"/>
      <c r="AE39" s="299"/>
      <c r="AF39" s="295"/>
      <c r="AG39" s="300"/>
      <c r="AH39" s="295"/>
      <c r="AI39" s="317"/>
      <c r="AJ39" s="295"/>
      <c r="AK39" s="263"/>
      <c r="AL39" s="263"/>
      <c r="AM39" s="263"/>
      <c r="AN39" s="263"/>
    </row>
    <row r="40" spans="1:40" ht="5.5" customHeight="1">
      <c r="A40" s="263"/>
      <c r="B40" s="677" t="s">
        <v>2110</v>
      </c>
      <c r="C40" s="643"/>
      <c r="D40" s="643"/>
      <c r="E40" s="643"/>
      <c r="F40" s="643"/>
      <c r="G40" s="643"/>
      <c r="H40" s="644"/>
      <c r="I40" s="867">
        <v>1</v>
      </c>
      <c r="J40" s="686" t="s">
        <v>2647</v>
      </c>
      <c r="K40" s="667">
        <v>30</v>
      </c>
      <c r="L40" s="665" t="str">
        <f>IF('из города'!$AG$9=3,"Дол.",IF('из города'!$AG$9=1,"Руб.","Грн."))</f>
        <v>Грн.</v>
      </c>
      <c r="M40" s="663">
        <f>I40*K40</f>
        <v>30</v>
      </c>
      <c r="N40" s="651" t="str">
        <f>IF('из города'!$AG$9=3,"Дол.",IF('из города'!$AG$9=1,"Руб.","Грн."))</f>
        <v>Грн.</v>
      </c>
      <c r="O40" s="263"/>
      <c r="P40" s="263"/>
      <c r="Q40" s="263"/>
      <c r="R40" s="263"/>
      <c r="X40" s="301"/>
      <c r="Y40" s="301"/>
      <c r="Z40" s="301"/>
      <c r="AA40" s="301"/>
      <c r="AB40" s="301"/>
      <c r="AC40" s="301"/>
      <c r="AD40" s="299"/>
      <c r="AE40" s="299"/>
      <c r="AF40" s="295"/>
      <c r="AG40" s="300"/>
      <c r="AH40" s="295"/>
      <c r="AI40" s="317"/>
      <c r="AJ40" s="295"/>
      <c r="AK40" s="263"/>
      <c r="AL40" s="263"/>
      <c r="AM40" s="263"/>
      <c r="AN40" s="263"/>
    </row>
    <row r="41" spans="1:40" ht="5.5" customHeight="1">
      <c r="A41" s="263"/>
      <c r="B41" s="645"/>
      <c r="C41" s="646"/>
      <c r="D41" s="646"/>
      <c r="E41" s="646"/>
      <c r="F41" s="646"/>
      <c r="G41" s="646"/>
      <c r="H41" s="647"/>
      <c r="I41" s="868"/>
      <c r="J41" s="687"/>
      <c r="K41" s="668"/>
      <c r="L41" s="666"/>
      <c r="M41" s="664"/>
      <c r="N41" s="652"/>
      <c r="O41" s="263"/>
      <c r="P41" s="263"/>
      <c r="Q41" s="263"/>
      <c r="R41" s="263"/>
      <c r="X41" s="301"/>
      <c r="Y41" s="301"/>
      <c r="Z41" s="301"/>
      <c r="AA41" s="301"/>
      <c r="AB41" s="301"/>
      <c r="AC41" s="301"/>
      <c r="AD41" s="299"/>
      <c r="AE41" s="299"/>
      <c r="AF41" s="295"/>
      <c r="AG41" s="300"/>
      <c r="AH41" s="295"/>
      <c r="AI41" s="317"/>
      <c r="AJ41" s="295"/>
      <c r="AK41" s="263"/>
      <c r="AL41" s="263"/>
      <c r="AM41" s="263"/>
      <c r="AN41" s="263"/>
    </row>
    <row r="42" spans="1:40" ht="5.5" customHeight="1">
      <c r="A42" s="263"/>
      <c r="B42" s="648"/>
      <c r="C42" s="649"/>
      <c r="D42" s="649"/>
      <c r="E42" s="649"/>
      <c r="F42" s="649"/>
      <c r="G42" s="649"/>
      <c r="H42" s="650"/>
      <c r="I42" s="869"/>
      <c r="J42" s="688"/>
      <c r="K42" s="689"/>
      <c r="L42" s="681"/>
      <c r="M42" s="682"/>
      <c r="N42" s="690"/>
      <c r="O42" s="263"/>
      <c r="P42" s="263"/>
      <c r="Q42" s="263"/>
      <c r="R42" s="263"/>
      <c r="X42" s="301"/>
      <c r="Y42" s="301"/>
      <c r="Z42" s="301"/>
      <c r="AA42" s="301"/>
      <c r="AB42" s="301"/>
      <c r="AC42" s="301"/>
      <c r="AD42" s="299"/>
      <c r="AE42" s="299"/>
      <c r="AF42" s="295"/>
      <c r="AG42" s="300"/>
      <c r="AH42" s="295"/>
      <c r="AI42" s="317"/>
      <c r="AJ42" s="295"/>
      <c r="AK42" s="263"/>
      <c r="AL42" s="263"/>
      <c r="AM42" s="263"/>
      <c r="AN42" s="263"/>
    </row>
    <row r="43" spans="1:40" s="263" customFormat="1" ht="5.5" customHeight="1">
      <c r="B43" s="677" t="s">
        <v>2679</v>
      </c>
      <c r="C43" s="643"/>
      <c r="D43" s="643"/>
      <c r="E43" s="643"/>
      <c r="F43" s="643"/>
      <c r="G43" s="643"/>
      <c r="H43" s="644"/>
      <c r="I43" s="865">
        <v>1</v>
      </c>
      <c r="J43" s="686" t="s">
        <v>2155</v>
      </c>
      <c r="K43" s="667">
        <v>140</v>
      </c>
      <c r="L43" s="665" t="str">
        <f>IF('из города'!$AG$9=3,"Дол.",IF('из города'!$AG$9=1,"Руб.","Грн."))</f>
        <v>Грн.</v>
      </c>
      <c r="M43" s="663">
        <f>I43*K43</f>
        <v>140</v>
      </c>
      <c r="N43" s="651" t="str">
        <f>IF('из города'!$AG$9=3,"Дол.",IF('из города'!$AG$9=1,"Руб.","Грн."))</f>
        <v>Грн.</v>
      </c>
      <c r="X43" s="301"/>
      <c r="Y43" s="301"/>
      <c r="Z43" s="301"/>
      <c r="AA43" s="301"/>
      <c r="AB43" s="301"/>
      <c r="AC43" s="301"/>
      <c r="AD43" s="299"/>
      <c r="AE43" s="299"/>
      <c r="AF43" s="295"/>
      <c r="AG43" s="300"/>
      <c r="AH43" s="295"/>
      <c r="AI43" s="317"/>
      <c r="AJ43" s="295"/>
    </row>
    <row r="44" spans="1:40" s="263" customFormat="1" ht="5.5" customHeight="1">
      <c r="B44" s="645"/>
      <c r="C44" s="646"/>
      <c r="D44" s="646"/>
      <c r="E44" s="646"/>
      <c r="F44" s="646"/>
      <c r="G44" s="646"/>
      <c r="H44" s="647"/>
      <c r="I44" s="865"/>
      <c r="J44" s="687"/>
      <c r="K44" s="668"/>
      <c r="L44" s="666"/>
      <c r="M44" s="664"/>
      <c r="N44" s="652"/>
      <c r="X44" s="301"/>
      <c r="Y44" s="301"/>
      <c r="Z44" s="301"/>
      <c r="AA44" s="301"/>
      <c r="AB44" s="301"/>
      <c r="AC44" s="301"/>
      <c r="AD44" s="299"/>
      <c r="AE44" s="299"/>
      <c r="AF44" s="295"/>
      <c r="AG44" s="300"/>
      <c r="AH44" s="295"/>
      <c r="AI44" s="317"/>
      <c r="AJ44" s="295"/>
    </row>
    <row r="45" spans="1:40" s="263" customFormat="1" ht="5.5" customHeight="1">
      <c r="B45" s="648"/>
      <c r="C45" s="649"/>
      <c r="D45" s="649"/>
      <c r="E45" s="649"/>
      <c r="F45" s="649"/>
      <c r="G45" s="649"/>
      <c r="H45" s="650"/>
      <c r="I45" s="866"/>
      <c r="J45" s="688"/>
      <c r="K45" s="689"/>
      <c r="L45" s="681"/>
      <c r="M45" s="682"/>
      <c r="N45" s="690"/>
      <c r="X45" s="301"/>
      <c r="Y45" s="301"/>
      <c r="Z45" s="301"/>
      <c r="AA45" s="301"/>
      <c r="AB45" s="301"/>
      <c r="AC45" s="301"/>
      <c r="AD45" s="299"/>
      <c r="AE45" s="299"/>
      <c r="AF45" s="295"/>
      <c r="AG45" s="300"/>
      <c r="AH45" s="295"/>
      <c r="AI45" s="317"/>
      <c r="AJ45" s="295"/>
    </row>
    <row r="46" spans="1:40" ht="5.5" customHeight="1">
      <c r="A46" s="263"/>
      <c r="B46" s="677" t="s">
        <v>2705</v>
      </c>
      <c r="C46" s="643"/>
      <c r="D46" s="643"/>
      <c r="E46" s="643"/>
      <c r="F46" s="643"/>
      <c r="G46" s="643"/>
      <c r="H46" s="644"/>
      <c r="I46" s="865">
        <v>1</v>
      </c>
      <c r="J46" s="686" t="s">
        <v>2155</v>
      </c>
      <c r="K46" s="667">
        <v>100</v>
      </c>
      <c r="L46" s="665" t="str">
        <f>IF('из города'!$AG$9=3,"Дол.",IF('из города'!$AG$9=1,"Руб.","Грн."))</f>
        <v>Грн.</v>
      </c>
      <c r="M46" s="694">
        <f>I46*K46</f>
        <v>100</v>
      </c>
      <c r="N46" s="651" t="str">
        <f>IF('из города'!$AG$9=3,"Дол.",IF('из города'!$AG$9=1,"Руб.","Грн."))</f>
        <v>Грн.</v>
      </c>
      <c r="O46" s="263"/>
      <c r="P46" s="263"/>
      <c r="Q46" s="263"/>
      <c r="R46" s="263"/>
      <c r="X46" s="301"/>
      <c r="Y46" s="301"/>
      <c r="Z46" s="301"/>
      <c r="AA46" s="301"/>
      <c r="AB46" s="301"/>
      <c r="AC46" s="301"/>
      <c r="AD46" s="299"/>
      <c r="AE46" s="299"/>
      <c r="AF46" s="295"/>
      <c r="AG46" s="300"/>
      <c r="AH46" s="295"/>
      <c r="AI46" s="317"/>
      <c r="AJ46" s="295"/>
      <c r="AK46" s="263"/>
      <c r="AL46" s="263"/>
      <c r="AM46" s="263"/>
      <c r="AN46" s="263"/>
    </row>
    <row r="47" spans="1:40" ht="5.5" customHeight="1">
      <c r="A47" s="263"/>
      <c r="B47" s="645"/>
      <c r="C47" s="646"/>
      <c r="D47" s="646"/>
      <c r="E47" s="646"/>
      <c r="F47" s="646"/>
      <c r="G47" s="646"/>
      <c r="H47" s="647"/>
      <c r="I47" s="865"/>
      <c r="J47" s="687"/>
      <c r="K47" s="668"/>
      <c r="L47" s="666"/>
      <c r="M47" s="695"/>
      <c r="N47" s="652"/>
      <c r="O47" s="263"/>
      <c r="P47" s="263"/>
      <c r="Q47" s="263"/>
      <c r="R47" s="263"/>
      <c r="X47" s="301"/>
      <c r="Y47" s="301"/>
      <c r="Z47" s="301"/>
      <c r="AA47" s="301"/>
      <c r="AB47" s="301"/>
      <c r="AC47" s="301"/>
      <c r="AD47" s="299"/>
      <c r="AE47" s="299"/>
      <c r="AF47" s="295"/>
      <c r="AG47" s="300"/>
      <c r="AH47" s="295"/>
      <c r="AI47" s="317"/>
      <c r="AJ47" s="295"/>
      <c r="AK47" s="263"/>
      <c r="AL47" s="263"/>
      <c r="AM47" s="263"/>
      <c r="AN47" s="263"/>
    </row>
    <row r="48" spans="1:40" ht="5.5" customHeight="1">
      <c r="A48" s="263"/>
      <c r="B48" s="648"/>
      <c r="C48" s="649"/>
      <c r="D48" s="649"/>
      <c r="E48" s="649"/>
      <c r="F48" s="649"/>
      <c r="G48" s="649"/>
      <c r="H48" s="650"/>
      <c r="I48" s="866"/>
      <c r="J48" s="688"/>
      <c r="K48" s="689"/>
      <c r="L48" s="681"/>
      <c r="M48" s="696"/>
      <c r="N48" s="690"/>
      <c r="O48" s="263"/>
      <c r="P48" s="263"/>
      <c r="Q48" s="263"/>
      <c r="R48" s="263"/>
      <c r="X48" s="302"/>
      <c r="Y48" s="302"/>
      <c r="Z48" s="302"/>
      <c r="AA48" s="302"/>
      <c r="AB48" s="302"/>
      <c r="AC48" s="302"/>
      <c r="AD48" s="299"/>
      <c r="AE48" s="299"/>
      <c r="AF48" s="295"/>
      <c r="AG48" s="300"/>
      <c r="AH48" s="295"/>
      <c r="AI48" s="317"/>
      <c r="AJ48" s="295"/>
      <c r="AK48" s="263"/>
      <c r="AL48" s="263"/>
      <c r="AM48" s="263"/>
      <c r="AN48" s="263"/>
    </row>
    <row r="49" spans="1:40" ht="5.5" customHeight="1">
      <c r="A49" s="263"/>
      <c r="B49" s="653" t="s">
        <v>2113</v>
      </c>
      <c r="C49" s="654"/>
      <c r="D49" s="654"/>
      <c r="E49" s="654"/>
      <c r="F49" s="654"/>
      <c r="G49" s="654"/>
      <c r="H49" s="655"/>
      <c r="I49" s="659">
        <v>0</v>
      </c>
      <c r="J49" s="661" t="s">
        <v>2659</v>
      </c>
      <c r="K49" s="667">
        <v>0</v>
      </c>
      <c r="L49" s="665" t="str">
        <f>IF('из города'!$AG$9=3,"Дол.",IF('из города'!$AG$9=1,"Руб.","Грн."))</f>
        <v>Грн.</v>
      </c>
      <c r="M49" s="694">
        <f>I49*K49</f>
        <v>0</v>
      </c>
      <c r="N49" s="651" t="str">
        <f>IF('из города'!$AG$9=3,"Дол.",IF('из города'!$AG$9=1,"Руб.","Грн."))</f>
        <v>Грн.</v>
      </c>
      <c r="O49" s="263"/>
      <c r="P49" s="263"/>
      <c r="Q49" s="263"/>
      <c r="R49" s="263"/>
      <c r="X49" s="302"/>
      <c r="Y49" s="302"/>
      <c r="Z49" s="302"/>
      <c r="AA49" s="302"/>
      <c r="AB49" s="302"/>
      <c r="AC49" s="302"/>
      <c r="AD49" s="299"/>
      <c r="AE49" s="299"/>
      <c r="AF49" s="295"/>
      <c r="AG49" s="300"/>
      <c r="AH49" s="295"/>
      <c r="AI49" s="317"/>
      <c r="AJ49" s="295"/>
      <c r="AK49" s="263"/>
      <c r="AL49" s="263"/>
      <c r="AM49" s="263"/>
      <c r="AN49" s="263"/>
    </row>
    <row r="50" spans="1:40" ht="5.5" customHeight="1">
      <c r="A50" s="263"/>
      <c r="B50" s="656"/>
      <c r="C50" s="657"/>
      <c r="D50" s="657"/>
      <c r="E50" s="657"/>
      <c r="F50" s="657"/>
      <c r="G50" s="657"/>
      <c r="H50" s="658"/>
      <c r="I50" s="746"/>
      <c r="J50" s="662"/>
      <c r="K50" s="668"/>
      <c r="L50" s="666"/>
      <c r="M50" s="695"/>
      <c r="N50" s="652"/>
      <c r="O50" s="263"/>
      <c r="P50" s="263"/>
      <c r="Q50" s="263"/>
      <c r="R50" s="263"/>
      <c r="X50" s="302"/>
      <c r="Y50" s="302"/>
      <c r="Z50" s="302"/>
      <c r="AA50" s="302"/>
      <c r="AB50" s="302"/>
      <c r="AC50" s="302"/>
      <c r="AD50" s="299"/>
      <c r="AE50" s="299"/>
      <c r="AF50" s="295"/>
      <c r="AG50" s="300"/>
      <c r="AH50" s="295"/>
      <c r="AI50" s="317"/>
      <c r="AJ50" s="295"/>
      <c r="AK50" s="263"/>
      <c r="AL50" s="263"/>
      <c r="AM50" s="263"/>
      <c r="AN50" s="263"/>
    </row>
    <row r="51" spans="1:40" ht="5.5" customHeight="1">
      <c r="A51" s="263"/>
      <c r="B51" s="700"/>
      <c r="C51" s="701"/>
      <c r="D51" s="701"/>
      <c r="E51" s="701"/>
      <c r="F51" s="701"/>
      <c r="G51" s="701"/>
      <c r="H51" s="702"/>
      <c r="I51" s="660"/>
      <c r="J51" s="703"/>
      <c r="K51" s="689"/>
      <c r="L51" s="681"/>
      <c r="M51" s="696"/>
      <c r="N51" s="690"/>
      <c r="O51" s="263"/>
      <c r="P51" s="263"/>
      <c r="Q51" s="263"/>
      <c r="R51" s="263"/>
      <c r="X51" s="318"/>
      <c r="Y51" s="318"/>
      <c r="Z51" s="318"/>
      <c r="AA51" s="318"/>
      <c r="AB51" s="318"/>
      <c r="AC51" s="318"/>
      <c r="AD51" s="304"/>
      <c r="AE51" s="304"/>
      <c r="AF51" s="305"/>
      <c r="AG51" s="300"/>
      <c r="AH51" s="295"/>
      <c r="AI51" s="319"/>
      <c r="AJ51" s="295"/>
      <c r="AK51" s="263"/>
      <c r="AL51" s="263"/>
      <c r="AM51" s="263"/>
      <c r="AN51" s="263"/>
    </row>
    <row r="52" spans="1:40" ht="5.5" customHeight="1">
      <c r="A52" s="263"/>
      <c r="B52" s="653" t="s">
        <v>2113</v>
      </c>
      <c r="C52" s="654"/>
      <c r="D52" s="654"/>
      <c r="E52" s="654"/>
      <c r="F52" s="654"/>
      <c r="G52" s="654"/>
      <c r="H52" s="655"/>
      <c r="I52" s="659">
        <v>0</v>
      </c>
      <c r="J52" s="661" t="s">
        <v>2659</v>
      </c>
      <c r="K52" s="667">
        <v>0</v>
      </c>
      <c r="L52" s="665" t="str">
        <f>IF('из города'!$AG$9=3,"Дол.",IF('из города'!$AG$9=1,"Руб.","Грн."))</f>
        <v>Грн.</v>
      </c>
      <c r="M52" s="694">
        <f>I52*K52</f>
        <v>0</v>
      </c>
      <c r="N52" s="651" t="str">
        <f>IF('из города'!$AG$9=3,"Дол.",IF('из города'!$AG$9=1,"Руб.","Грн."))</f>
        <v>Грн.</v>
      </c>
      <c r="O52" s="263"/>
      <c r="P52" s="263"/>
      <c r="Q52" s="263"/>
      <c r="R52" s="263"/>
      <c r="X52" s="318"/>
      <c r="Y52" s="318"/>
      <c r="Z52" s="318"/>
      <c r="AA52" s="318"/>
      <c r="AB52" s="318"/>
      <c r="AC52" s="318"/>
      <c r="AD52" s="304"/>
      <c r="AE52" s="304"/>
      <c r="AF52" s="305"/>
      <c r="AG52" s="300"/>
      <c r="AH52" s="295"/>
      <c r="AI52" s="319"/>
      <c r="AJ52" s="295"/>
      <c r="AK52" s="263"/>
      <c r="AL52" s="263"/>
      <c r="AM52" s="263"/>
      <c r="AN52" s="263"/>
    </row>
    <row r="53" spans="1:40" ht="5.5" customHeight="1">
      <c r="A53" s="263"/>
      <c r="B53" s="656"/>
      <c r="C53" s="657"/>
      <c r="D53" s="657"/>
      <c r="E53" s="657"/>
      <c r="F53" s="657"/>
      <c r="G53" s="657"/>
      <c r="H53" s="658"/>
      <c r="I53" s="746"/>
      <c r="J53" s="662"/>
      <c r="K53" s="668"/>
      <c r="L53" s="666"/>
      <c r="M53" s="695"/>
      <c r="N53" s="652"/>
      <c r="O53" s="263"/>
      <c r="P53" s="263"/>
      <c r="Q53" s="263"/>
      <c r="R53" s="263"/>
      <c r="X53" s="318"/>
      <c r="Y53" s="318"/>
      <c r="Z53" s="318"/>
      <c r="AA53" s="318"/>
      <c r="AB53" s="318"/>
      <c r="AC53" s="318"/>
      <c r="AD53" s="304"/>
      <c r="AE53" s="304"/>
      <c r="AF53" s="305"/>
      <c r="AG53" s="300"/>
      <c r="AH53" s="295"/>
      <c r="AI53" s="319"/>
      <c r="AJ53" s="295"/>
      <c r="AK53" s="263"/>
      <c r="AL53" s="263"/>
      <c r="AM53" s="263"/>
      <c r="AN53" s="263"/>
    </row>
    <row r="54" spans="1:40" ht="5.5" customHeight="1">
      <c r="A54" s="263"/>
      <c r="B54" s="700"/>
      <c r="C54" s="701"/>
      <c r="D54" s="701"/>
      <c r="E54" s="701"/>
      <c r="F54" s="701"/>
      <c r="G54" s="701"/>
      <c r="H54" s="702"/>
      <c r="I54" s="660"/>
      <c r="J54" s="703"/>
      <c r="K54" s="689"/>
      <c r="L54" s="681"/>
      <c r="M54" s="696"/>
      <c r="N54" s="690"/>
      <c r="O54" s="263"/>
      <c r="P54" s="263"/>
      <c r="Q54" s="263"/>
      <c r="R54" s="263"/>
      <c r="X54" s="318"/>
      <c r="Y54" s="318"/>
      <c r="Z54" s="318"/>
      <c r="AA54" s="318"/>
      <c r="AB54" s="318"/>
      <c r="AC54" s="318"/>
      <c r="AD54" s="304"/>
      <c r="AE54" s="304"/>
      <c r="AF54" s="305"/>
      <c r="AG54" s="300"/>
      <c r="AH54" s="295"/>
      <c r="AI54" s="319"/>
      <c r="AJ54" s="295"/>
      <c r="AK54" s="263"/>
      <c r="AL54" s="263"/>
      <c r="AM54" s="263"/>
      <c r="AN54" s="263"/>
    </row>
    <row r="55" spans="1:40" ht="5.5" customHeight="1">
      <c r="A55" s="263"/>
      <c r="B55" s="653" t="s">
        <v>2113</v>
      </c>
      <c r="C55" s="654"/>
      <c r="D55" s="654"/>
      <c r="E55" s="654"/>
      <c r="F55" s="654"/>
      <c r="G55" s="654"/>
      <c r="H55" s="655"/>
      <c r="I55" s="659">
        <v>0</v>
      </c>
      <c r="J55" s="661" t="s">
        <v>2659</v>
      </c>
      <c r="K55" s="667">
        <v>0</v>
      </c>
      <c r="L55" s="665" t="str">
        <f>IF('из города'!$AG$9=3,"Дол.",IF('из города'!$AG$9=1,"Руб.","Грн."))</f>
        <v>Грн.</v>
      </c>
      <c r="M55" s="694">
        <f>I55*K55</f>
        <v>0</v>
      </c>
      <c r="N55" s="651" t="str">
        <f>IF('из города'!$AG$9=3,"Дол.",IF('из города'!$AG$9=1,"Руб.","Грн."))</f>
        <v>Грн.</v>
      </c>
      <c r="O55" s="263"/>
      <c r="P55" s="263"/>
      <c r="Q55" s="263"/>
      <c r="R55" s="263"/>
      <c r="X55" s="318"/>
      <c r="Y55" s="318"/>
      <c r="Z55" s="318"/>
      <c r="AA55" s="318"/>
      <c r="AB55" s="318"/>
      <c r="AC55" s="318"/>
      <c r="AD55" s="304"/>
      <c r="AE55" s="304"/>
      <c r="AF55" s="305"/>
      <c r="AG55" s="300"/>
      <c r="AH55" s="295"/>
      <c r="AI55" s="319"/>
      <c r="AJ55" s="295"/>
      <c r="AK55" s="263"/>
      <c r="AL55" s="263"/>
      <c r="AM55" s="263"/>
      <c r="AN55" s="263"/>
    </row>
    <row r="56" spans="1:40" ht="5.5" customHeight="1">
      <c r="A56" s="263"/>
      <c r="B56" s="656"/>
      <c r="C56" s="657"/>
      <c r="D56" s="657"/>
      <c r="E56" s="657"/>
      <c r="F56" s="657"/>
      <c r="G56" s="657"/>
      <c r="H56" s="658"/>
      <c r="I56" s="746"/>
      <c r="J56" s="662"/>
      <c r="K56" s="668"/>
      <c r="L56" s="666"/>
      <c r="M56" s="695"/>
      <c r="N56" s="652"/>
      <c r="O56" s="263"/>
      <c r="P56" s="263"/>
      <c r="Q56" s="263"/>
      <c r="R56" s="263"/>
      <c r="X56" s="318"/>
      <c r="Y56" s="318"/>
      <c r="Z56" s="318"/>
      <c r="AA56" s="318"/>
      <c r="AB56" s="318"/>
      <c r="AC56" s="318"/>
      <c r="AD56" s="304"/>
      <c r="AE56" s="304"/>
      <c r="AF56" s="305"/>
      <c r="AG56" s="300"/>
      <c r="AH56" s="295"/>
      <c r="AI56" s="319"/>
      <c r="AJ56" s="295"/>
      <c r="AK56" s="263"/>
      <c r="AL56" s="263"/>
      <c r="AM56" s="263"/>
      <c r="AN56" s="263"/>
    </row>
    <row r="57" spans="1:40" ht="5.5" customHeight="1">
      <c r="A57" s="263"/>
      <c r="B57" s="700"/>
      <c r="C57" s="701"/>
      <c r="D57" s="701"/>
      <c r="E57" s="701"/>
      <c r="F57" s="701"/>
      <c r="G57" s="701"/>
      <c r="H57" s="702"/>
      <c r="I57" s="660"/>
      <c r="J57" s="703"/>
      <c r="K57" s="689"/>
      <c r="L57" s="681"/>
      <c r="M57" s="696"/>
      <c r="N57" s="690"/>
      <c r="O57" s="263"/>
      <c r="P57" s="263"/>
      <c r="Q57" s="263"/>
      <c r="R57" s="263"/>
      <c r="X57" s="318"/>
      <c r="Y57" s="318"/>
      <c r="Z57" s="318"/>
      <c r="AA57" s="318"/>
      <c r="AB57" s="318"/>
      <c r="AC57" s="318"/>
      <c r="AD57" s="304"/>
      <c r="AE57" s="304"/>
      <c r="AF57" s="305"/>
      <c r="AG57" s="300"/>
      <c r="AH57" s="295"/>
      <c r="AI57" s="319"/>
      <c r="AJ57" s="295"/>
      <c r="AK57" s="263"/>
      <c r="AL57" s="263"/>
      <c r="AM57" s="263"/>
      <c r="AN57" s="263"/>
    </row>
    <row r="58" spans="1:40" ht="5.5" customHeight="1">
      <c r="A58" s="265"/>
      <c r="B58" s="654" t="s">
        <v>2113</v>
      </c>
      <c r="C58" s="654"/>
      <c r="D58" s="654"/>
      <c r="E58" s="654"/>
      <c r="F58" s="654"/>
      <c r="G58" s="654"/>
      <c r="H58" s="655"/>
      <c r="I58" s="659">
        <v>0</v>
      </c>
      <c r="J58" s="661" t="s">
        <v>2659</v>
      </c>
      <c r="K58" s="667">
        <v>0</v>
      </c>
      <c r="L58" s="665" t="str">
        <f>IF('из города'!$AG$9=3,"Дол.",IF('из города'!$AG$9=1,"Руб.","Грн."))</f>
        <v>Грн.</v>
      </c>
      <c r="M58" s="694">
        <f>I58*K58</f>
        <v>0</v>
      </c>
      <c r="N58" s="651" t="str">
        <f>IF('из города'!$AG$9=3,"Дол.",IF('из города'!$AG$9=1,"Руб.","Грн."))</f>
        <v>Грн.</v>
      </c>
      <c r="O58" s="263"/>
      <c r="P58" s="263"/>
      <c r="Q58" s="263"/>
      <c r="R58" s="263"/>
      <c r="X58" s="318"/>
      <c r="Y58" s="318"/>
      <c r="Z58" s="318"/>
      <c r="AA58" s="318"/>
      <c r="AB58" s="318"/>
      <c r="AC58" s="318"/>
      <c r="AD58" s="304"/>
      <c r="AE58" s="304"/>
      <c r="AF58" s="305"/>
      <c r="AG58" s="300"/>
      <c r="AH58" s="295"/>
      <c r="AI58" s="319"/>
      <c r="AJ58" s="295"/>
      <c r="AK58" s="263"/>
      <c r="AL58" s="263"/>
      <c r="AM58" s="263"/>
      <c r="AN58" s="263"/>
    </row>
    <row r="59" spans="1:40" ht="5.5" customHeight="1">
      <c r="A59" s="265"/>
      <c r="B59" s="657"/>
      <c r="C59" s="657"/>
      <c r="D59" s="657"/>
      <c r="E59" s="657"/>
      <c r="F59" s="657"/>
      <c r="G59" s="657"/>
      <c r="H59" s="658"/>
      <c r="I59" s="746"/>
      <c r="J59" s="662"/>
      <c r="K59" s="668"/>
      <c r="L59" s="666"/>
      <c r="M59" s="695"/>
      <c r="N59" s="652"/>
      <c r="O59" s="263"/>
      <c r="P59" s="263"/>
      <c r="Q59" s="263"/>
      <c r="R59" s="263"/>
      <c r="X59" s="318"/>
      <c r="Y59" s="318"/>
      <c r="Z59" s="318"/>
      <c r="AA59" s="318"/>
      <c r="AB59" s="318"/>
      <c r="AC59" s="318"/>
      <c r="AD59" s="304"/>
      <c r="AE59" s="304"/>
      <c r="AF59" s="305"/>
      <c r="AG59" s="300"/>
      <c r="AH59" s="295"/>
      <c r="AI59" s="319"/>
      <c r="AJ59" s="295"/>
      <c r="AK59" s="263"/>
      <c r="AL59" s="263"/>
      <c r="AM59" s="263"/>
      <c r="AN59" s="263"/>
    </row>
    <row r="60" spans="1:40" ht="5.5" customHeight="1">
      <c r="A60" s="265"/>
      <c r="B60" s="701"/>
      <c r="C60" s="701"/>
      <c r="D60" s="701"/>
      <c r="E60" s="701"/>
      <c r="F60" s="701"/>
      <c r="G60" s="701"/>
      <c r="H60" s="702"/>
      <c r="I60" s="660"/>
      <c r="J60" s="703"/>
      <c r="K60" s="689"/>
      <c r="L60" s="681"/>
      <c r="M60" s="696"/>
      <c r="N60" s="690"/>
      <c r="O60" s="263"/>
      <c r="P60" s="263"/>
      <c r="Q60" s="263"/>
      <c r="R60" s="263"/>
      <c r="X60" s="318"/>
      <c r="Y60" s="318"/>
      <c r="Z60" s="318"/>
      <c r="AA60" s="318"/>
      <c r="AB60" s="318"/>
      <c r="AC60" s="318"/>
      <c r="AD60" s="304"/>
      <c r="AE60" s="304"/>
      <c r="AF60" s="305"/>
      <c r="AG60" s="300"/>
      <c r="AH60" s="295"/>
      <c r="AI60" s="319"/>
      <c r="AJ60" s="295"/>
      <c r="AK60" s="263"/>
      <c r="AL60" s="263"/>
      <c r="AM60" s="263"/>
      <c r="AN60" s="263"/>
    </row>
    <row r="61" spans="1:40" ht="5.5" customHeight="1">
      <c r="A61" s="263"/>
      <c r="B61" s="656" t="s">
        <v>2113</v>
      </c>
      <c r="C61" s="657"/>
      <c r="D61" s="657"/>
      <c r="E61" s="657"/>
      <c r="F61" s="657"/>
      <c r="G61" s="657"/>
      <c r="H61" s="658"/>
      <c r="I61" s="746">
        <v>0</v>
      </c>
      <c r="J61" s="661" t="s">
        <v>2659</v>
      </c>
      <c r="K61" s="668">
        <v>0</v>
      </c>
      <c r="L61" s="666" t="str">
        <f>IF('из города'!$AG$9=3,"Дол.",IF('из города'!$AG$9=1,"Руб.","Грн."))</f>
        <v>Грн.</v>
      </c>
      <c r="M61" s="695">
        <f>I61*K61</f>
        <v>0</v>
      </c>
      <c r="N61" s="652" t="str">
        <f>IF('из города'!$AG$9=3,"Дол.",IF('из города'!$AG$9=1,"Руб.","Грн."))</f>
        <v>Грн.</v>
      </c>
      <c r="O61" s="263"/>
      <c r="P61" s="263"/>
      <c r="Q61" s="263"/>
      <c r="R61" s="263"/>
      <c r="X61" s="318"/>
      <c r="Y61" s="318"/>
      <c r="Z61" s="318"/>
      <c r="AA61" s="318"/>
      <c r="AB61" s="318"/>
      <c r="AC61" s="318"/>
      <c r="AD61" s="304"/>
      <c r="AE61" s="304"/>
      <c r="AF61" s="305"/>
      <c r="AG61" s="300"/>
      <c r="AH61" s="295"/>
      <c r="AI61" s="319"/>
      <c r="AJ61" s="295"/>
      <c r="AK61" s="263"/>
      <c r="AL61" s="263"/>
      <c r="AM61" s="263"/>
      <c r="AN61" s="263"/>
    </row>
    <row r="62" spans="1:40" ht="5.5" customHeight="1">
      <c r="A62" s="263"/>
      <c r="B62" s="656"/>
      <c r="C62" s="657"/>
      <c r="D62" s="657"/>
      <c r="E62" s="657"/>
      <c r="F62" s="657"/>
      <c r="G62" s="657"/>
      <c r="H62" s="658"/>
      <c r="I62" s="746"/>
      <c r="J62" s="662"/>
      <c r="K62" s="668"/>
      <c r="L62" s="666"/>
      <c r="M62" s="695"/>
      <c r="N62" s="652"/>
      <c r="O62" s="263"/>
      <c r="P62" s="263"/>
      <c r="Q62" s="263"/>
      <c r="R62" s="263"/>
      <c r="X62" s="318"/>
      <c r="Y62" s="318"/>
      <c r="Z62" s="318"/>
      <c r="AA62" s="318"/>
      <c r="AB62" s="318"/>
      <c r="AC62" s="318"/>
      <c r="AD62" s="304"/>
      <c r="AE62" s="304"/>
      <c r="AF62" s="305"/>
      <c r="AG62" s="300"/>
      <c r="AH62" s="295"/>
      <c r="AI62" s="319"/>
      <c r="AJ62" s="295"/>
      <c r="AK62" s="263"/>
      <c r="AL62" s="263"/>
      <c r="AM62" s="263"/>
      <c r="AN62" s="263"/>
    </row>
    <row r="63" spans="1:40" ht="5.5" customHeight="1">
      <c r="A63" s="263"/>
      <c r="B63" s="656"/>
      <c r="C63" s="657"/>
      <c r="D63" s="657"/>
      <c r="E63" s="657"/>
      <c r="F63" s="657"/>
      <c r="G63" s="657"/>
      <c r="H63" s="658"/>
      <c r="I63" s="660"/>
      <c r="J63" s="703"/>
      <c r="K63" s="689"/>
      <c r="L63" s="681"/>
      <c r="M63" s="696"/>
      <c r="N63" s="652"/>
      <c r="O63" s="263"/>
      <c r="P63" s="263"/>
      <c r="Q63" s="263"/>
      <c r="R63" s="263"/>
      <c r="X63" s="318"/>
      <c r="Y63" s="318"/>
      <c r="Z63" s="318"/>
      <c r="AA63" s="318"/>
      <c r="AB63" s="318"/>
      <c r="AC63" s="318"/>
      <c r="AD63" s="304"/>
      <c r="AE63" s="304"/>
      <c r="AF63" s="305"/>
      <c r="AG63" s="300"/>
      <c r="AH63" s="295"/>
      <c r="AI63" s="319"/>
      <c r="AJ63" s="295"/>
      <c r="AK63" s="263"/>
      <c r="AL63" s="263"/>
      <c r="AM63" s="263"/>
      <c r="AN63" s="263"/>
    </row>
    <row r="64" spans="1:40" ht="9" customHeight="1">
      <c r="A64" s="263"/>
      <c r="B64" s="677" t="s">
        <v>2675</v>
      </c>
      <c r="C64" s="643"/>
      <c r="D64" s="643"/>
      <c r="E64" s="643"/>
      <c r="F64" s="643"/>
      <c r="G64" s="643"/>
      <c r="H64" s="644"/>
      <c r="I64" s="659">
        <v>4</v>
      </c>
      <c r="J64" s="661" t="s">
        <v>2676</v>
      </c>
      <c r="K64" s="667">
        <v>7</v>
      </c>
      <c r="L64" s="665" t="str">
        <f>IF('из города'!$AG$9=3,"Дол.",IF('из города'!$AG$9=1,"Руб.","Грн."))</f>
        <v>Грн.</v>
      </c>
      <c r="M64" s="663">
        <f>I64*K64</f>
        <v>28</v>
      </c>
      <c r="N64" s="651" t="str">
        <f>IF('из города'!$AG$9=3,"Дол.",IF('из города'!$AG$9=1,"Руб.","Грн."))</f>
        <v>Грн.</v>
      </c>
      <c r="O64" s="263"/>
      <c r="P64" s="263"/>
      <c r="Q64" s="263"/>
      <c r="R64" s="263"/>
      <c r="X64" s="318"/>
      <c r="Y64" s="318"/>
      <c r="Z64" s="318"/>
      <c r="AA64" s="318"/>
      <c r="AB64" s="318"/>
      <c r="AC64" s="318"/>
      <c r="AD64" s="304"/>
      <c r="AE64" s="304"/>
      <c r="AF64" s="305"/>
      <c r="AG64" s="300"/>
      <c r="AH64" s="295"/>
      <c r="AI64" s="319"/>
      <c r="AJ64" s="295"/>
      <c r="AK64" s="263"/>
      <c r="AL64" s="263"/>
      <c r="AM64" s="263"/>
      <c r="AN64" s="263"/>
    </row>
    <row r="65" spans="1:40" ht="9" customHeight="1">
      <c r="A65" s="263"/>
      <c r="B65" s="645"/>
      <c r="C65" s="646"/>
      <c r="D65" s="646"/>
      <c r="E65" s="646"/>
      <c r="F65" s="646"/>
      <c r="G65" s="646"/>
      <c r="H65" s="647"/>
      <c r="I65" s="660"/>
      <c r="J65" s="662"/>
      <c r="K65" s="668"/>
      <c r="L65" s="666"/>
      <c r="M65" s="664"/>
      <c r="N65" s="652"/>
      <c r="O65" s="263"/>
      <c r="P65" s="263"/>
      <c r="Q65" s="263"/>
      <c r="R65" s="263"/>
      <c r="X65" s="318"/>
      <c r="Y65" s="318"/>
      <c r="Z65" s="318"/>
      <c r="AA65" s="318"/>
      <c r="AB65" s="318"/>
      <c r="AC65" s="318"/>
      <c r="AD65" s="304"/>
      <c r="AE65" s="304"/>
      <c r="AF65" s="305"/>
      <c r="AG65" s="300"/>
      <c r="AH65" s="295"/>
      <c r="AI65" s="319"/>
      <c r="AJ65" s="295"/>
      <c r="AK65" s="263"/>
      <c r="AL65" s="263"/>
      <c r="AM65" s="263"/>
      <c r="AN65" s="263"/>
    </row>
    <row r="66" spans="1:40" ht="9" customHeight="1">
      <c r="A66" s="263"/>
      <c r="B66" s="677" t="s">
        <v>2664</v>
      </c>
      <c r="C66" s="643"/>
      <c r="D66" s="643"/>
      <c r="E66" s="643"/>
      <c r="F66" s="643"/>
      <c r="G66" s="643"/>
      <c r="H66" s="644"/>
      <c r="I66" s="659">
        <v>10</v>
      </c>
      <c r="J66" s="661" t="s">
        <v>2641</v>
      </c>
      <c r="K66" s="667">
        <v>2</v>
      </c>
      <c r="L66" s="665" t="str">
        <f>IF('из города'!$AG$9=3,"Дол.",IF('из города'!$AG$9=1,"Руб.","Грн."))</f>
        <v>Грн.</v>
      </c>
      <c r="M66" s="663">
        <f>I66*K66</f>
        <v>20</v>
      </c>
      <c r="N66" s="651" t="str">
        <f>IF('из города'!$AG$9=3,"Дол.",IF('из города'!$AG$9=1,"Руб.","Грн."))</f>
        <v>Грн.</v>
      </c>
      <c r="O66" s="263"/>
      <c r="P66" s="263"/>
      <c r="Q66" s="263"/>
      <c r="R66" s="263"/>
      <c r="X66" s="318"/>
      <c r="Y66" s="318"/>
      <c r="Z66" s="318"/>
      <c r="AA66" s="318"/>
      <c r="AB66" s="318"/>
      <c r="AC66" s="318"/>
      <c r="AD66" s="304"/>
      <c r="AE66" s="304"/>
      <c r="AF66" s="305"/>
      <c r="AG66" s="300"/>
      <c r="AH66" s="295"/>
      <c r="AI66" s="319"/>
      <c r="AJ66" s="295"/>
      <c r="AK66" s="263"/>
      <c r="AL66" s="263"/>
      <c r="AM66" s="263"/>
      <c r="AN66" s="263"/>
    </row>
    <row r="67" spans="1:40" ht="9" customHeight="1">
      <c r="A67" s="263"/>
      <c r="B67" s="645"/>
      <c r="C67" s="646"/>
      <c r="D67" s="646"/>
      <c r="E67" s="646"/>
      <c r="F67" s="646"/>
      <c r="G67" s="646"/>
      <c r="H67" s="647"/>
      <c r="I67" s="660"/>
      <c r="J67" s="662"/>
      <c r="K67" s="668"/>
      <c r="L67" s="666"/>
      <c r="M67" s="664"/>
      <c r="N67" s="652"/>
      <c r="O67" s="263"/>
      <c r="P67" s="263"/>
      <c r="Q67" s="263"/>
      <c r="R67" s="263"/>
      <c r="X67" s="318"/>
      <c r="Y67" s="318"/>
      <c r="Z67" s="318"/>
      <c r="AA67" s="318"/>
      <c r="AB67" s="318"/>
      <c r="AC67" s="318"/>
      <c r="AD67" s="304"/>
      <c r="AE67" s="304"/>
      <c r="AF67" s="305"/>
      <c r="AG67" s="300"/>
      <c r="AH67" s="295"/>
      <c r="AI67" s="319"/>
      <c r="AJ67" s="295"/>
      <c r="AK67" s="263"/>
      <c r="AL67" s="263"/>
      <c r="AM67" s="263"/>
      <c r="AN67" s="263"/>
    </row>
    <row r="68" spans="1:40" ht="9" customHeight="1">
      <c r="A68" s="263"/>
      <c r="B68" s="677" t="s">
        <v>2653</v>
      </c>
      <c r="C68" s="643"/>
      <c r="D68" s="643"/>
      <c r="E68" s="643"/>
      <c r="F68" s="643"/>
      <c r="G68" s="643"/>
      <c r="H68" s="644"/>
      <c r="I68" s="659">
        <v>1</v>
      </c>
      <c r="J68" s="661" t="s">
        <v>2639</v>
      </c>
      <c r="K68" s="667">
        <v>20</v>
      </c>
      <c r="L68" s="665" t="str">
        <f>IF('из города'!$AG$9=3,"Дол.",IF('из города'!$AG$9=1,"Руб.","Грн."))</f>
        <v>Грн.</v>
      </c>
      <c r="M68" s="663">
        <f>I68*K68</f>
        <v>20</v>
      </c>
      <c r="N68" s="651" t="str">
        <f>IF('из города'!$AG$9=3,"Дол.",IF('из города'!$AG$9=1,"Руб.","Грн."))</f>
        <v>Грн.</v>
      </c>
      <c r="O68" s="263"/>
      <c r="P68" s="263"/>
      <c r="Q68" s="263"/>
      <c r="R68" s="263"/>
      <c r="X68" s="318"/>
      <c r="Y68" s="318"/>
      <c r="Z68" s="318"/>
      <c r="AA68" s="318"/>
      <c r="AB68" s="318"/>
      <c r="AC68" s="318"/>
      <c r="AD68" s="304"/>
      <c r="AE68" s="304"/>
      <c r="AF68" s="305"/>
      <c r="AG68" s="300"/>
      <c r="AH68" s="295"/>
      <c r="AI68" s="319"/>
      <c r="AJ68" s="295"/>
      <c r="AK68" s="263"/>
      <c r="AL68" s="263"/>
      <c r="AM68" s="263"/>
      <c r="AN68" s="263"/>
    </row>
    <row r="69" spans="1:40" ht="9" customHeight="1">
      <c r="A69" s="263"/>
      <c r="B69" s="645"/>
      <c r="C69" s="646"/>
      <c r="D69" s="646"/>
      <c r="E69" s="646"/>
      <c r="F69" s="646"/>
      <c r="G69" s="646"/>
      <c r="H69" s="647"/>
      <c r="I69" s="660"/>
      <c r="J69" s="662"/>
      <c r="K69" s="668"/>
      <c r="L69" s="666"/>
      <c r="M69" s="664"/>
      <c r="N69" s="652"/>
      <c r="O69" s="263"/>
      <c r="P69" s="263"/>
      <c r="Q69" s="263"/>
      <c r="R69" s="263"/>
      <c r="X69" s="318"/>
      <c r="Y69" s="318"/>
      <c r="Z69" s="318"/>
      <c r="AA69" s="318"/>
      <c r="AB69" s="318"/>
      <c r="AC69" s="318"/>
      <c r="AD69" s="304"/>
      <c r="AE69" s="304"/>
      <c r="AF69" s="305"/>
      <c r="AG69" s="300"/>
      <c r="AH69" s="295"/>
      <c r="AI69" s="319"/>
      <c r="AJ69" s="295"/>
      <c r="AK69" s="263"/>
      <c r="AL69" s="263"/>
      <c r="AM69" s="263"/>
      <c r="AN69" s="263"/>
    </row>
    <row r="70" spans="1:40" ht="9" customHeight="1">
      <c r="A70" s="263"/>
      <c r="B70" s="677" t="s">
        <v>2652</v>
      </c>
      <c r="C70" s="643"/>
      <c r="D70" s="643"/>
      <c r="E70" s="643"/>
      <c r="F70" s="643"/>
      <c r="G70" s="643"/>
      <c r="H70" s="644"/>
      <c r="I70" s="659">
        <v>4</v>
      </c>
      <c r="J70" s="661" t="s">
        <v>2639</v>
      </c>
      <c r="K70" s="667">
        <v>2</v>
      </c>
      <c r="L70" s="665" t="str">
        <f>IF('из города'!$AG$9=3,"Дол.",IF('из города'!$AG$9=1,"Руб.","Грн."))</f>
        <v>Грн.</v>
      </c>
      <c r="M70" s="663">
        <f>I70*K70</f>
        <v>8</v>
      </c>
      <c r="N70" s="651" t="str">
        <f>IF('из города'!$AG$9=3,"Дол.",IF('из города'!$AG$9=1,"Руб.","Грн."))</f>
        <v>Грн.</v>
      </c>
      <c r="O70" s="263"/>
      <c r="P70" s="263"/>
      <c r="Q70" s="263"/>
      <c r="R70" s="263"/>
      <c r="X70" s="318"/>
      <c r="Y70" s="318"/>
      <c r="Z70" s="318"/>
      <c r="AA70" s="318"/>
      <c r="AB70" s="318"/>
      <c r="AC70" s="318"/>
      <c r="AD70" s="304"/>
      <c r="AE70" s="304"/>
      <c r="AF70" s="305"/>
      <c r="AG70" s="300"/>
      <c r="AH70" s="295"/>
      <c r="AI70" s="319"/>
      <c r="AJ70" s="295"/>
      <c r="AK70" s="263"/>
      <c r="AL70" s="263"/>
      <c r="AM70" s="263"/>
      <c r="AN70" s="263"/>
    </row>
    <row r="71" spans="1:40" ht="9" customHeight="1">
      <c r="A71" s="263"/>
      <c r="B71" s="645"/>
      <c r="C71" s="646"/>
      <c r="D71" s="646"/>
      <c r="E71" s="646"/>
      <c r="F71" s="646"/>
      <c r="G71" s="646"/>
      <c r="H71" s="647"/>
      <c r="I71" s="660"/>
      <c r="J71" s="662"/>
      <c r="K71" s="668"/>
      <c r="L71" s="666"/>
      <c r="M71" s="664"/>
      <c r="N71" s="652"/>
      <c r="O71" s="263"/>
      <c r="P71" s="263"/>
      <c r="Q71" s="263"/>
      <c r="R71" s="263"/>
      <c r="X71" s="318"/>
      <c r="Y71" s="318"/>
      <c r="Z71" s="318"/>
      <c r="AA71" s="318"/>
      <c r="AB71" s="318"/>
      <c r="AC71" s="318"/>
      <c r="AD71" s="304"/>
      <c r="AE71" s="304"/>
      <c r="AF71" s="305"/>
      <c r="AG71" s="300"/>
      <c r="AH71" s="295"/>
      <c r="AI71" s="319"/>
      <c r="AJ71" s="295"/>
      <c r="AK71" s="263"/>
      <c r="AL71" s="263"/>
      <c r="AM71" s="263"/>
      <c r="AN71" s="263"/>
    </row>
    <row r="72" spans="1:40" ht="9" customHeight="1">
      <c r="A72" s="263"/>
      <c r="B72" s="677" t="s">
        <v>2674</v>
      </c>
      <c r="C72" s="643"/>
      <c r="D72" s="643"/>
      <c r="E72" s="643"/>
      <c r="F72" s="643"/>
      <c r="G72" s="643"/>
      <c r="H72" s="644"/>
      <c r="I72" s="659">
        <v>0</v>
      </c>
      <c r="J72" s="661" t="s">
        <v>2639</v>
      </c>
      <c r="K72" s="667">
        <v>70</v>
      </c>
      <c r="L72" s="665" t="str">
        <f>IF('из города'!$AG$9=3,"Дол.",IF('из города'!$AG$9=1,"Руб.","Грн."))</f>
        <v>Грн.</v>
      </c>
      <c r="M72" s="663">
        <f>I72*K72</f>
        <v>0</v>
      </c>
      <c r="N72" s="651" t="str">
        <f>IF('из города'!$AG$9=3,"Дол.",IF('из города'!$AG$9=1,"Руб.","Грн."))</f>
        <v>Грн.</v>
      </c>
      <c r="O72" s="263"/>
      <c r="P72" s="263"/>
      <c r="Q72" s="263"/>
      <c r="R72" s="263"/>
      <c r="X72" s="318"/>
      <c r="Y72" s="318"/>
      <c r="Z72" s="318"/>
      <c r="AA72" s="318"/>
      <c r="AB72" s="318"/>
      <c r="AC72" s="318"/>
      <c r="AD72" s="304"/>
      <c r="AE72" s="304"/>
      <c r="AF72" s="305"/>
      <c r="AG72" s="300"/>
      <c r="AH72" s="295"/>
      <c r="AI72" s="319"/>
      <c r="AJ72" s="295"/>
      <c r="AK72" s="263"/>
      <c r="AL72" s="263"/>
      <c r="AM72" s="263"/>
      <c r="AN72" s="263"/>
    </row>
    <row r="73" spans="1:40" ht="9" customHeight="1">
      <c r="A73" s="263"/>
      <c r="B73" s="645"/>
      <c r="C73" s="646"/>
      <c r="D73" s="646"/>
      <c r="E73" s="646"/>
      <c r="F73" s="646"/>
      <c r="G73" s="646"/>
      <c r="H73" s="647"/>
      <c r="I73" s="660"/>
      <c r="J73" s="662"/>
      <c r="K73" s="668"/>
      <c r="L73" s="666"/>
      <c r="M73" s="664"/>
      <c r="N73" s="652"/>
      <c r="O73" s="263"/>
      <c r="P73" s="263"/>
      <c r="Q73" s="263"/>
      <c r="R73" s="263"/>
      <c r="X73" s="318"/>
      <c r="Y73" s="318"/>
      <c r="Z73" s="318"/>
      <c r="AA73" s="318"/>
      <c r="AB73" s="318"/>
      <c r="AC73" s="318"/>
      <c r="AD73" s="304"/>
      <c r="AE73" s="304"/>
      <c r="AF73" s="305"/>
      <c r="AG73" s="300"/>
      <c r="AH73" s="295"/>
      <c r="AI73" s="319"/>
      <c r="AJ73" s="295"/>
      <c r="AK73" s="263"/>
      <c r="AL73" s="263"/>
      <c r="AM73" s="263"/>
      <c r="AN73" s="263"/>
    </row>
    <row r="74" spans="1:40" ht="9" customHeight="1">
      <c r="A74" s="263"/>
      <c r="B74" s="669" t="s">
        <v>2660</v>
      </c>
      <c r="C74" s="670"/>
      <c r="D74" s="670"/>
      <c r="E74" s="670"/>
      <c r="F74" s="670"/>
      <c r="G74" s="670"/>
      <c r="H74" s="671"/>
      <c r="I74" s="659">
        <v>6</v>
      </c>
      <c r="J74" s="661" t="s">
        <v>2661</v>
      </c>
      <c r="K74" s="667">
        <v>15</v>
      </c>
      <c r="L74" s="675" t="str">
        <f>IF('из города'!$AG$9=3,"Дол.",IF('из города'!$AG$9=1,"Руб.","Грн."))</f>
        <v>Грн.</v>
      </c>
      <c r="M74" s="663">
        <f>I74*K74</f>
        <v>90</v>
      </c>
      <c r="N74" s="651" t="str">
        <f>IF('из города'!$AG$9=3,"Дол.",IF('из города'!$AG$9=1,"Руб.","Грн."))</f>
        <v>Грн.</v>
      </c>
      <c r="O74" s="263"/>
      <c r="P74" s="263"/>
      <c r="Q74" s="263"/>
      <c r="R74" s="263"/>
      <c r="X74" s="318"/>
      <c r="Y74" s="318"/>
      <c r="Z74" s="318"/>
      <c r="AA74" s="318"/>
      <c r="AB74" s="318"/>
      <c r="AC74" s="318"/>
      <c r="AD74" s="304"/>
      <c r="AE74" s="304"/>
      <c r="AF74" s="305"/>
      <c r="AG74" s="300"/>
      <c r="AH74" s="295"/>
      <c r="AI74" s="319"/>
      <c r="AJ74" s="295"/>
      <c r="AK74" s="263"/>
      <c r="AL74" s="263"/>
      <c r="AM74" s="263"/>
      <c r="AN74" s="263"/>
    </row>
    <row r="75" spans="1:40" ht="9" customHeight="1">
      <c r="A75" s="263"/>
      <c r="B75" s="672"/>
      <c r="C75" s="673"/>
      <c r="D75" s="673"/>
      <c r="E75" s="673"/>
      <c r="F75" s="673"/>
      <c r="G75" s="673"/>
      <c r="H75" s="674"/>
      <c r="I75" s="660"/>
      <c r="J75" s="662"/>
      <c r="K75" s="668"/>
      <c r="L75" s="676"/>
      <c r="M75" s="664"/>
      <c r="N75" s="652"/>
      <c r="O75" s="263"/>
      <c r="P75" s="263"/>
      <c r="Q75" s="263"/>
      <c r="R75" s="263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63"/>
      <c r="AL75" s="263"/>
      <c r="AM75" s="263"/>
      <c r="AN75" s="263"/>
    </row>
    <row r="76" spans="1:40" ht="9" customHeight="1">
      <c r="A76" s="263"/>
      <c r="B76" s="669"/>
      <c r="C76" s="670"/>
      <c r="D76" s="670"/>
      <c r="E76" s="670"/>
      <c r="F76" s="670"/>
      <c r="G76" s="670"/>
      <c r="H76" s="671"/>
      <c r="I76" s="659">
        <v>1</v>
      </c>
      <c r="J76" s="661" t="s">
        <v>2647</v>
      </c>
      <c r="K76" s="667">
        <v>0</v>
      </c>
      <c r="L76" s="675" t="str">
        <f>IF('из города'!$AG$9=3,"Дол.",IF('из города'!$AG$9=1,"Руб.","Грн."))</f>
        <v>Грн.</v>
      </c>
      <c r="M76" s="663">
        <f>I76*K76</f>
        <v>0</v>
      </c>
      <c r="N76" s="651" t="str">
        <f>IF('из города'!$AG$9=3,"Дол.",IF('из города'!$AG$9=1,"Руб.","Грн."))</f>
        <v>Грн.</v>
      </c>
      <c r="O76" s="263"/>
      <c r="P76" s="263"/>
      <c r="Q76" s="263"/>
      <c r="R76" s="263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63"/>
      <c r="AL76" s="263"/>
      <c r="AM76" s="263"/>
      <c r="AN76" s="263"/>
    </row>
    <row r="77" spans="1:40" ht="9" customHeight="1">
      <c r="A77" s="263"/>
      <c r="B77" s="672"/>
      <c r="C77" s="673"/>
      <c r="D77" s="673"/>
      <c r="E77" s="673"/>
      <c r="F77" s="673"/>
      <c r="G77" s="673"/>
      <c r="H77" s="674"/>
      <c r="I77" s="660"/>
      <c r="J77" s="662"/>
      <c r="K77" s="668"/>
      <c r="L77" s="676"/>
      <c r="M77" s="664"/>
      <c r="N77" s="652"/>
      <c r="O77" s="263"/>
      <c r="P77" s="263"/>
      <c r="Q77" s="174"/>
      <c r="R77" s="174"/>
      <c r="X77" s="311"/>
      <c r="Y77" s="311"/>
      <c r="Z77" s="311"/>
      <c r="AA77" s="311"/>
      <c r="AB77" s="311"/>
      <c r="AC77" s="311"/>
      <c r="AD77" s="299"/>
      <c r="AE77" s="299"/>
      <c r="AF77" s="295"/>
      <c r="AG77" s="295"/>
      <c r="AH77" s="174"/>
      <c r="AI77" s="174"/>
      <c r="AJ77" s="290"/>
      <c r="AK77" s="263"/>
      <c r="AL77" s="263"/>
      <c r="AM77" s="263"/>
      <c r="AN77" s="263"/>
    </row>
    <row r="78" spans="1:40" ht="9" customHeight="1">
      <c r="A78" s="263"/>
      <c r="B78" s="669"/>
      <c r="C78" s="670"/>
      <c r="D78" s="670"/>
      <c r="E78" s="670"/>
      <c r="F78" s="670"/>
      <c r="G78" s="670"/>
      <c r="H78" s="671"/>
      <c r="I78" s="659">
        <v>1</v>
      </c>
      <c r="J78" s="661" t="s">
        <v>2639</v>
      </c>
      <c r="K78" s="667">
        <v>0</v>
      </c>
      <c r="L78" s="675" t="str">
        <f>IF('из города'!$AG$9=3,"Дол.",IF('из города'!$AG$9=1,"Руб.","Грн."))</f>
        <v>Грн.</v>
      </c>
      <c r="M78" s="663">
        <f>I78*K78</f>
        <v>0</v>
      </c>
      <c r="N78" s="651" t="str">
        <f>IF('из города'!$AG$9=3,"Дол.",IF('из города'!$AG$9=1,"Руб.","Грн."))</f>
        <v>Грн.</v>
      </c>
      <c r="O78" s="263"/>
      <c r="P78" s="263"/>
      <c r="Q78" s="174"/>
      <c r="R78" s="174"/>
      <c r="X78" s="311"/>
      <c r="Y78" s="311"/>
      <c r="Z78" s="311"/>
      <c r="AA78" s="311"/>
      <c r="AB78" s="311"/>
      <c r="AC78" s="311"/>
      <c r="AD78" s="299"/>
      <c r="AE78" s="299"/>
      <c r="AF78" s="295"/>
      <c r="AG78" s="295"/>
      <c r="AH78" s="174"/>
      <c r="AI78" s="174"/>
      <c r="AJ78" s="295"/>
      <c r="AK78" s="263"/>
      <c r="AL78" s="263"/>
      <c r="AM78" s="263"/>
      <c r="AN78" s="263"/>
    </row>
    <row r="79" spans="1:40" ht="9" customHeight="1">
      <c r="A79" s="263"/>
      <c r="B79" s="672"/>
      <c r="C79" s="673"/>
      <c r="D79" s="673"/>
      <c r="E79" s="673"/>
      <c r="F79" s="673"/>
      <c r="G79" s="673"/>
      <c r="H79" s="674"/>
      <c r="I79" s="660"/>
      <c r="J79" s="662"/>
      <c r="K79" s="668"/>
      <c r="L79" s="676"/>
      <c r="M79" s="664"/>
      <c r="N79" s="652"/>
      <c r="O79" s="263"/>
      <c r="P79" s="263"/>
      <c r="Q79" s="174"/>
      <c r="R79" s="174"/>
      <c r="X79" s="311"/>
      <c r="Y79" s="311"/>
      <c r="Z79" s="311"/>
      <c r="AA79" s="311"/>
      <c r="AB79" s="311"/>
      <c r="AC79" s="311"/>
      <c r="AD79" s="299"/>
      <c r="AE79" s="299"/>
      <c r="AF79" s="295"/>
      <c r="AG79" s="295"/>
      <c r="AH79" s="174"/>
      <c r="AI79" s="174"/>
      <c r="AJ79" s="295"/>
      <c r="AK79" s="263"/>
      <c r="AL79" s="263"/>
      <c r="AM79" s="263"/>
      <c r="AN79" s="263"/>
    </row>
    <row r="80" spans="1:40" ht="9" customHeight="1">
      <c r="A80" s="263"/>
      <c r="B80" s="653" t="s">
        <v>2658</v>
      </c>
      <c r="C80" s="654"/>
      <c r="D80" s="654"/>
      <c r="E80" s="654"/>
      <c r="F80" s="654"/>
      <c r="G80" s="654"/>
      <c r="H80" s="655"/>
      <c r="I80" s="659">
        <v>1</v>
      </c>
      <c r="J80" s="661" t="s">
        <v>2647</v>
      </c>
      <c r="K80" s="667">
        <v>0</v>
      </c>
      <c r="L80" s="665" t="str">
        <f>IF('из города'!$AG$9=3,"Дол.",IF('из города'!$AG$9=1,"Руб.","Грн."))</f>
        <v>Грн.</v>
      </c>
      <c r="M80" s="663">
        <f>I80*K80</f>
        <v>0</v>
      </c>
      <c r="N80" s="651" t="str">
        <f>IF('из города'!$AG$9=3,"Дол.",IF('из города'!$AG$9=1,"Руб.","Грн."))</f>
        <v>Грн.</v>
      </c>
      <c r="O80" s="263"/>
      <c r="P80" s="263"/>
      <c r="Q80" s="174"/>
      <c r="R80" s="174"/>
      <c r="X80" s="290"/>
      <c r="Y80" s="290"/>
      <c r="Z80" s="290"/>
      <c r="AA80" s="290"/>
      <c r="AB80" s="290"/>
      <c r="AC80" s="290"/>
      <c r="AD80" s="307"/>
      <c r="AE80" s="307"/>
      <c r="AF80" s="307"/>
      <c r="AG80" s="312"/>
      <c r="AH80" s="174"/>
      <c r="AI80" s="174"/>
      <c r="AJ80" s="290"/>
      <c r="AK80" s="263"/>
      <c r="AL80" s="263"/>
      <c r="AM80" s="263"/>
      <c r="AN80" s="263"/>
    </row>
    <row r="81" spans="1:40" ht="9" customHeight="1">
      <c r="A81" s="263"/>
      <c r="B81" s="656"/>
      <c r="C81" s="657"/>
      <c r="D81" s="657"/>
      <c r="E81" s="657"/>
      <c r="F81" s="657"/>
      <c r="G81" s="657"/>
      <c r="H81" s="658"/>
      <c r="I81" s="660"/>
      <c r="J81" s="662"/>
      <c r="K81" s="668"/>
      <c r="L81" s="666"/>
      <c r="M81" s="664"/>
      <c r="N81" s="652"/>
      <c r="O81" s="263"/>
      <c r="P81" s="286"/>
      <c r="Q81" s="174"/>
      <c r="R81" s="174"/>
      <c r="X81" s="290"/>
      <c r="Y81" s="290"/>
      <c r="Z81" s="290"/>
      <c r="AA81" s="290"/>
      <c r="AB81" s="290"/>
      <c r="AC81" s="290"/>
      <c r="AD81" s="307"/>
      <c r="AE81" s="307"/>
      <c r="AF81" s="307"/>
      <c r="AG81" s="312"/>
      <c r="AH81" s="174"/>
      <c r="AI81" s="174"/>
      <c r="AJ81" s="290"/>
      <c r="AK81" s="263"/>
      <c r="AL81" s="263"/>
      <c r="AM81" s="263"/>
      <c r="AN81" s="263"/>
    </row>
    <row r="82" spans="1:40" ht="9" customHeight="1">
      <c r="A82" s="263"/>
      <c r="B82" s="653" t="s">
        <v>2658</v>
      </c>
      <c r="C82" s="654"/>
      <c r="D82" s="654"/>
      <c r="E82" s="654"/>
      <c r="F82" s="654"/>
      <c r="G82" s="654"/>
      <c r="H82" s="655"/>
      <c r="I82" s="659">
        <v>1</v>
      </c>
      <c r="J82" s="661" t="s">
        <v>2647</v>
      </c>
      <c r="K82" s="667">
        <v>0</v>
      </c>
      <c r="L82" s="665" t="str">
        <f>IF('из города'!$AG$9=3,"Дол.",IF('из города'!$AG$9=1,"Руб.","Грн."))</f>
        <v>Грн.</v>
      </c>
      <c r="M82" s="663">
        <f>I82*K82</f>
        <v>0</v>
      </c>
      <c r="N82" s="651" t="str">
        <f>IF('из города'!$AG$9=3,"Дол.",IF('из города'!$AG$9=1,"Руб.","Грн."))</f>
        <v>Грн.</v>
      </c>
      <c r="O82" s="263"/>
      <c r="P82" s="286"/>
      <c r="Q82" s="315"/>
      <c r="R82" s="174"/>
      <c r="X82" s="290"/>
      <c r="Y82" s="290"/>
      <c r="Z82" s="290"/>
      <c r="AA82" s="290"/>
      <c r="AB82" s="290"/>
      <c r="AC82" s="290"/>
      <c r="AD82" s="307"/>
      <c r="AE82" s="307"/>
      <c r="AF82" s="307"/>
      <c r="AG82" s="312"/>
      <c r="AH82" s="174"/>
      <c r="AI82" s="174"/>
      <c r="AJ82" s="290"/>
      <c r="AK82" s="263"/>
      <c r="AL82" s="263"/>
      <c r="AM82" s="263"/>
      <c r="AN82" s="263"/>
    </row>
    <row r="83" spans="1:40" ht="9" customHeight="1">
      <c r="A83" s="263"/>
      <c r="B83" s="656"/>
      <c r="C83" s="657"/>
      <c r="D83" s="657"/>
      <c r="E83" s="657"/>
      <c r="F83" s="657"/>
      <c r="G83" s="657"/>
      <c r="H83" s="658"/>
      <c r="I83" s="660"/>
      <c r="J83" s="662"/>
      <c r="K83" s="668"/>
      <c r="L83" s="666"/>
      <c r="M83" s="664"/>
      <c r="N83" s="652"/>
      <c r="O83" s="263"/>
      <c r="P83" s="286"/>
      <c r="Q83" s="315"/>
      <c r="R83" s="174"/>
      <c r="X83" s="125"/>
      <c r="Y83" s="125"/>
      <c r="Z83" s="125"/>
      <c r="AA83" s="125"/>
      <c r="AB83" s="125"/>
      <c r="AC83" s="125"/>
      <c r="AD83" s="125"/>
      <c r="AE83" s="125"/>
      <c r="AF83" s="125"/>
      <c r="AG83" s="125"/>
      <c r="AH83" s="125"/>
      <c r="AI83" s="125"/>
      <c r="AJ83" s="125"/>
      <c r="AK83" s="263"/>
      <c r="AL83" s="263"/>
      <c r="AM83" s="263"/>
      <c r="AN83" s="263"/>
    </row>
    <row r="84" spans="1:40" ht="9" customHeight="1">
      <c r="A84" s="263"/>
      <c r="B84" s="653" t="s">
        <v>2658</v>
      </c>
      <c r="C84" s="654"/>
      <c r="D84" s="654"/>
      <c r="E84" s="654"/>
      <c r="F84" s="654"/>
      <c r="G84" s="654"/>
      <c r="H84" s="655"/>
      <c r="I84" s="659">
        <v>1</v>
      </c>
      <c r="J84" s="661" t="s">
        <v>2647</v>
      </c>
      <c r="K84" s="667">
        <v>0</v>
      </c>
      <c r="L84" s="665" t="str">
        <f>IF('из города'!$AG$9=3,"Дол.",IF('из города'!$AG$9=1,"Руб.","Грн."))</f>
        <v>Грн.</v>
      </c>
      <c r="M84" s="663">
        <f>I84*K84</f>
        <v>0</v>
      </c>
      <c r="N84" s="651" t="str">
        <f>IF('из города'!$AG$9=3,"Дол.",IF('из города'!$AG$9=1,"Руб.","Грн."))</f>
        <v>Грн.</v>
      </c>
      <c r="O84" s="263"/>
      <c r="Q84" s="174"/>
      <c r="R84" s="174"/>
      <c r="X84" s="263"/>
      <c r="Y84" s="263"/>
      <c r="Z84" s="263"/>
      <c r="AA84" s="263"/>
      <c r="AB84" s="263"/>
      <c r="AC84" s="263"/>
      <c r="AD84" s="263"/>
      <c r="AE84" s="263"/>
      <c r="AF84" s="263"/>
      <c r="AG84" s="263"/>
      <c r="AH84" s="263"/>
      <c r="AI84" s="263"/>
      <c r="AJ84" s="263"/>
      <c r="AK84" s="263"/>
      <c r="AL84" s="263"/>
      <c r="AM84" s="263"/>
      <c r="AN84" s="263"/>
    </row>
    <row r="85" spans="1:40" ht="9" customHeight="1">
      <c r="A85" s="263"/>
      <c r="B85" s="656"/>
      <c r="C85" s="657"/>
      <c r="D85" s="657"/>
      <c r="E85" s="657"/>
      <c r="F85" s="657"/>
      <c r="G85" s="657"/>
      <c r="H85" s="658"/>
      <c r="I85" s="660"/>
      <c r="J85" s="662"/>
      <c r="K85" s="668"/>
      <c r="L85" s="666"/>
      <c r="M85" s="664"/>
      <c r="N85" s="652"/>
      <c r="O85" s="263"/>
      <c r="Q85" s="316"/>
      <c r="R85" s="174"/>
      <c r="X85" s="263"/>
      <c r="Y85" s="263"/>
      <c r="Z85" s="263"/>
      <c r="AA85" s="263"/>
      <c r="AB85" s="263"/>
      <c r="AC85" s="263"/>
      <c r="AD85" s="263"/>
      <c r="AE85" s="263"/>
      <c r="AF85" s="263"/>
      <c r="AG85" s="263"/>
      <c r="AH85" s="263"/>
      <c r="AI85" s="263"/>
      <c r="AJ85" s="263"/>
      <c r="AK85" s="263"/>
      <c r="AL85" s="263"/>
      <c r="AM85" s="263"/>
      <c r="AN85" s="263"/>
    </row>
    <row r="86" spans="1:40" ht="9" customHeight="1">
      <c r="A86" s="263"/>
      <c r="B86" s="653" t="s">
        <v>2658</v>
      </c>
      <c r="C86" s="654"/>
      <c r="D86" s="654"/>
      <c r="E86" s="654"/>
      <c r="F86" s="654"/>
      <c r="G86" s="654"/>
      <c r="H86" s="655"/>
      <c r="I86" s="659">
        <v>1</v>
      </c>
      <c r="J86" s="661" t="s">
        <v>2647</v>
      </c>
      <c r="K86" s="667">
        <v>0</v>
      </c>
      <c r="L86" s="665" t="str">
        <f>IF('из города'!$AG$9=3,"Дол.",IF('из города'!$AG$9=1,"Руб.","Грн."))</f>
        <v>Грн.</v>
      </c>
      <c r="M86" s="663">
        <f>I86*K86</f>
        <v>0</v>
      </c>
      <c r="N86" s="651" t="str">
        <f>IF('из города'!$AG$9=3,"Дол.",IF('из города'!$AG$9=1,"Руб.","Грн."))</f>
        <v>Грн.</v>
      </c>
      <c r="O86" s="263"/>
      <c r="Q86" s="316"/>
      <c r="R86" s="174"/>
      <c r="X86" s="263"/>
      <c r="Y86" s="263"/>
      <c r="Z86" s="263"/>
      <c r="AA86" s="263"/>
      <c r="AB86" s="263"/>
      <c r="AC86" s="263"/>
      <c r="AD86" s="263"/>
      <c r="AE86" s="263"/>
      <c r="AF86" s="263"/>
      <c r="AG86" s="263"/>
      <c r="AH86" s="263"/>
      <c r="AI86" s="263"/>
      <c r="AJ86" s="263"/>
      <c r="AK86" s="263"/>
      <c r="AL86" s="263"/>
      <c r="AM86" s="263"/>
      <c r="AN86" s="263"/>
    </row>
    <row r="87" spans="1:40" ht="9" customHeight="1">
      <c r="A87" s="263"/>
      <c r="B87" s="656"/>
      <c r="C87" s="657"/>
      <c r="D87" s="657"/>
      <c r="E87" s="657"/>
      <c r="F87" s="657"/>
      <c r="G87" s="657"/>
      <c r="H87" s="658"/>
      <c r="I87" s="660"/>
      <c r="J87" s="662"/>
      <c r="K87" s="668"/>
      <c r="L87" s="666"/>
      <c r="M87" s="664"/>
      <c r="N87" s="652"/>
      <c r="O87" s="263"/>
      <c r="P87" s="263"/>
      <c r="Q87" s="174"/>
      <c r="R87" s="174"/>
      <c r="X87" s="263"/>
      <c r="Y87" s="263"/>
      <c r="Z87" s="263"/>
      <c r="AA87" s="263"/>
      <c r="AB87" s="263"/>
      <c r="AC87" s="263"/>
      <c r="AD87" s="263"/>
      <c r="AE87" s="263"/>
      <c r="AF87" s="263"/>
      <c r="AG87" s="263"/>
      <c r="AH87" s="263"/>
      <c r="AI87" s="263"/>
      <c r="AJ87" s="263"/>
      <c r="AK87" s="263"/>
      <c r="AL87" s="263"/>
      <c r="AM87" s="263"/>
      <c r="AN87" s="263"/>
    </row>
    <row r="88" spans="1:40" ht="9" customHeight="1">
      <c r="A88" s="263"/>
      <c r="B88" s="653" t="s">
        <v>2658</v>
      </c>
      <c r="C88" s="654"/>
      <c r="D88" s="654"/>
      <c r="E88" s="654"/>
      <c r="F88" s="654"/>
      <c r="G88" s="654"/>
      <c r="H88" s="655"/>
      <c r="I88" s="659">
        <v>1</v>
      </c>
      <c r="J88" s="661" t="s">
        <v>2647</v>
      </c>
      <c r="K88" s="667">
        <v>0</v>
      </c>
      <c r="L88" s="665" t="str">
        <f>IF('из города'!$AG$9=3,"Дол.",IF('из города'!$AG$9=1,"Руб.","Грн."))</f>
        <v>Грн.</v>
      </c>
      <c r="M88" s="663">
        <f>I88*K88</f>
        <v>0</v>
      </c>
      <c r="N88" s="651" t="str">
        <f>IF('из города'!$AG$9=3,"Дол.",IF('из города'!$AG$9=1,"Руб.","Грн."))</f>
        <v>Грн.</v>
      </c>
      <c r="O88" s="263"/>
      <c r="P88" s="263"/>
      <c r="Q88" s="174"/>
      <c r="R88" s="174"/>
      <c r="X88" s="263"/>
      <c r="Y88" s="263"/>
      <c r="Z88" s="263"/>
      <c r="AA88" s="263"/>
      <c r="AB88" s="263"/>
      <c r="AC88" s="263"/>
      <c r="AD88" s="263"/>
      <c r="AE88" s="263"/>
      <c r="AF88" s="263"/>
      <c r="AG88" s="263"/>
      <c r="AH88" s="263"/>
      <c r="AI88" s="263"/>
      <c r="AJ88" s="263"/>
      <c r="AK88" s="263"/>
      <c r="AL88" s="263"/>
      <c r="AM88" s="263"/>
      <c r="AN88" s="263"/>
    </row>
    <row r="89" spans="1:40" ht="9" customHeight="1">
      <c r="A89" s="263"/>
      <c r="B89" s="656"/>
      <c r="C89" s="657"/>
      <c r="D89" s="657"/>
      <c r="E89" s="657"/>
      <c r="F89" s="657"/>
      <c r="G89" s="657"/>
      <c r="H89" s="658"/>
      <c r="I89" s="660"/>
      <c r="J89" s="662"/>
      <c r="K89" s="668"/>
      <c r="L89" s="666"/>
      <c r="M89" s="664"/>
      <c r="N89" s="652"/>
      <c r="O89" s="263"/>
      <c r="P89" s="263"/>
      <c r="Q89" s="174"/>
      <c r="R89" s="174"/>
    </row>
    <row r="90" spans="1:40" ht="7" customHeight="1">
      <c r="A90" s="285" t="b">
        <v>0</v>
      </c>
      <c r="B90" s="749" t="s">
        <v>15</v>
      </c>
      <c r="C90" s="750"/>
      <c r="D90" s="750"/>
      <c r="E90" s="750"/>
      <c r="F90" s="750"/>
      <c r="G90" s="750"/>
      <c r="H90" s="259"/>
      <c r="I90" s="259"/>
      <c r="J90" s="260"/>
      <c r="K90" s="845">
        <f>M90/P91</f>
        <v>0</v>
      </c>
      <c r="L90" s="759" t="s">
        <v>17</v>
      </c>
      <c r="M90" s="845">
        <f>IF(A90=TRUE,SUM(M7:M88),0)</f>
        <v>0</v>
      </c>
      <c r="N90" s="679" t="str">
        <f>IF('из города'!$AG$9=3,"Дол.",IF('из города'!$AG$9=1,"Руб.","Грн."))</f>
        <v>Грн.</v>
      </c>
      <c r="O90" s="263"/>
      <c r="P90" s="263"/>
      <c r="Q90" s="174"/>
      <c r="R90" s="174"/>
    </row>
    <row r="91" spans="1:40" ht="7" customHeight="1">
      <c r="A91" s="263"/>
      <c r="B91" s="751"/>
      <c r="C91" s="752"/>
      <c r="D91" s="752"/>
      <c r="E91" s="752"/>
      <c r="F91" s="752"/>
      <c r="G91" s="752"/>
      <c r="H91" s="259"/>
      <c r="I91" s="259"/>
      <c r="J91" s="260"/>
      <c r="K91" s="747"/>
      <c r="L91" s="704"/>
      <c r="M91" s="747"/>
      <c r="N91" s="679"/>
      <c r="O91" s="263"/>
      <c r="P91" s="822">
        <f>Главная!X13</f>
        <v>26</v>
      </c>
      <c r="Q91" s="174"/>
      <c r="R91" s="174"/>
    </row>
    <row r="92" spans="1:40" ht="7" customHeight="1">
      <c r="A92" s="263"/>
      <c r="B92" s="751"/>
      <c r="C92" s="752"/>
      <c r="D92" s="752"/>
      <c r="E92" s="752"/>
      <c r="F92" s="752"/>
      <c r="G92" s="752"/>
      <c r="H92" s="259"/>
      <c r="I92" s="259"/>
      <c r="J92" s="260"/>
      <c r="K92" s="747"/>
      <c r="L92" s="704"/>
      <c r="M92" s="747"/>
      <c r="N92" s="679"/>
      <c r="O92" s="263"/>
      <c r="P92" s="822"/>
      <c r="Q92" s="174"/>
      <c r="R92" s="174"/>
    </row>
    <row r="93" spans="1:40" ht="7" customHeight="1" thickBot="1">
      <c r="A93" s="263"/>
      <c r="B93" s="753"/>
      <c r="C93" s="754"/>
      <c r="D93" s="754"/>
      <c r="E93" s="754"/>
      <c r="F93" s="754"/>
      <c r="G93" s="754"/>
      <c r="H93" s="261"/>
      <c r="I93" s="261"/>
      <c r="J93" s="313"/>
      <c r="K93" s="748"/>
      <c r="L93" s="705"/>
      <c r="M93" s="748"/>
      <c r="N93" s="763"/>
      <c r="O93" s="263"/>
      <c r="P93" s="822"/>
      <c r="Q93" s="174"/>
      <c r="R93" s="174"/>
    </row>
    <row r="94" spans="1:40" ht="9" customHeight="1" thickTop="1">
      <c r="A94" s="263"/>
      <c r="B94" s="258"/>
      <c r="C94" s="258"/>
      <c r="D94" s="258"/>
      <c r="E94" s="258"/>
      <c r="F94" s="258"/>
      <c r="G94" s="258"/>
      <c r="H94" s="287"/>
      <c r="I94" s="287"/>
      <c r="J94" s="287"/>
      <c r="K94" s="289"/>
      <c r="M94" s="264"/>
      <c r="N94" s="263"/>
      <c r="O94" s="263"/>
      <c r="P94" s="116"/>
      <c r="Q94" s="314"/>
      <c r="R94" s="174"/>
    </row>
    <row r="95" spans="1:40" ht="9" customHeight="1">
      <c r="A95" s="263"/>
      <c r="B95" s="258"/>
      <c r="C95" s="258"/>
      <c r="D95" s="258"/>
      <c r="E95" s="258"/>
      <c r="F95" s="258"/>
      <c r="G95" s="258"/>
      <c r="H95" s="288"/>
      <c r="I95" s="288"/>
      <c r="J95" s="288"/>
      <c r="K95" s="288"/>
      <c r="M95" s="116"/>
      <c r="N95" s="263"/>
      <c r="O95" s="263"/>
      <c r="P95" s="263"/>
      <c r="Q95" s="314"/>
      <c r="R95" s="174"/>
    </row>
    <row r="96" spans="1:40" ht="9" customHeight="1" thickBot="1">
      <c r="A96" s="263"/>
      <c r="B96" s="258"/>
      <c r="C96" s="258"/>
      <c r="D96" s="258"/>
      <c r="E96" s="258"/>
      <c r="F96" s="258"/>
      <c r="G96" s="258"/>
      <c r="H96" s="288"/>
      <c r="I96" s="288"/>
      <c r="J96" s="288"/>
      <c r="K96" s="288"/>
      <c r="M96" s="116"/>
      <c r="N96" s="286"/>
      <c r="O96" s="263"/>
      <c r="P96" s="263"/>
      <c r="Q96" s="314"/>
      <c r="R96" s="174"/>
    </row>
    <row r="97" spans="1:18" ht="12.5" customHeight="1" thickTop="1">
      <c r="A97" s="263"/>
      <c r="B97" s="706" t="s">
        <v>2718</v>
      </c>
      <c r="C97" s="697"/>
      <c r="D97" s="697"/>
      <c r="E97" s="697"/>
      <c r="F97" s="697"/>
      <c r="G97" s="697"/>
      <c r="H97" s="697"/>
      <c r="I97" s="697"/>
      <c r="J97" s="697"/>
      <c r="K97" s="697"/>
      <c r="L97" s="697"/>
      <c r="M97" s="697"/>
      <c r="N97" s="697"/>
      <c r="O97" s="263"/>
      <c r="P97" s="263"/>
      <c r="Q97" s="314"/>
      <c r="R97" s="174"/>
    </row>
    <row r="98" spans="1:18" ht="12.5" customHeight="1" thickBot="1">
      <c r="A98" s="263"/>
      <c r="B98" s="849"/>
      <c r="C98" s="698"/>
      <c r="D98" s="698"/>
      <c r="E98" s="698"/>
      <c r="F98" s="698"/>
      <c r="G98" s="698"/>
      <c r="H98" s="698"/>
      <c r="I98" s="698"/>
      <c r="J98" s="698"/>
      <c r="K98" s="698"/>
      <c r="L98" s="698"/>
      <c r="M98" s="698"/>
      <c r="N98" s="698"/>
      <c r="O98" s="263"/>
      <c r="P98" s="263"/>
      <c r="Q98" s="174"/>
      <c r="R98" s="174"/>
    </row>
    <row r="99" spans="1:18" ht="10.5" customHeight="1" thickTop="1">
      <c r="A99" s="263"/>
      <c r="B99" s="504" t="s">
        <v>2737</v>
      </c>
      <c r="C99" s="712"/>
      <c r="D99" s="712"/>
      <c r="E99" s="712"/>
      <c r="F99" s="712"/>
      <c r="G99" s="712"/>
      <c r="H99" s="713"/>
      <c r="I99" s="477" t="s">
        <v>2738</v>
      </c>
      <c r="J99" s="479"/>
      <c r="K99" s="477" t="s">
        <v>2</v>
      </c>
      <c r="L99" s="479"/>
      <c r="M99" s="478" t="s">
        <v>2749</v>
      </c>
      <c r="N99" s="479"/>
      <c r="O99" s="263"/>
      <c r="P99" s="263"/>
      <c r="Q99" s="314"/>
      <c r="R99" s="174"/>
    </row>
    <row r="100" spans="1:18" ht="10.5" customHeight="1">
      <c r="A100" s="263"/>
      <c r="B100" s="714"/>
      <c r="C100" s="850"/>
      <c r="D100" s="850"/>
      <c r="E100" s="850"/>
      <c r="F100" s="850"/>
      <c r="G100" s="850"/>
      <c r="H100" s="716"/>
      <c r="I100" s="480"/>
      <c r="J100" s="482"/>
      <c r="K100" s="480"/>
      <c r="L100" s="482"/>
      <c r="M100" s="481"/>
      <c r="N100" s="482"/>
      <c r="O100" s="263"/>
      <c r="P100" s="263"/>
      <c r="Q100" s="314"/>
      <c r="R100" s="174"/>
    </row>
    <row r="101" spans="1:18" ht="10.5" customHeight="1" thickBot="1">
      <c r="B101" s="717"/>
      <c r="C101" s="710"/>
      <c r="D101" s="710"/>
      <c r="E101" s="710"/>
      <c r="F101" s="710"/>
      <c r="G101" s="710"/>
      <c r="H101" s="711"/>
      <c r="I101" s="483"/>
      <c r="J101" s="485"/>
      <c r="K101" s="483"/>
      <c r="L101" s="485"/>
      <c r="M101" s="484"/>
      <c r="N101" s="485"/>
      <c r="Q101" s="314"/>
      <c r="R101" s="174"/>
    </row>
    <row r="102" spans="1:18" ht="9" customHeight="1" thickTop="1">
      <c r="B102" s="730" t="s">
        <v>2747</v>
      </c>
      <c r="C102" s="731"/>
      <c r="D102" s="731"/>
      <c r="E102" s="731"/>
      <c r="F102" s="731"/>
      <c r="G102" s="731"/>
      <c r="H102" s="814"/>
      <c r="I102" s="863">
        <v>17</v>
      </c>
      <c r="J102" s="687" t="s">
        <v>13</v>
      </c>
      <c r="K102" s="668">
        <v>100</v>
      </c>
      <c r="L102" s="666" t="str">
        <f>IF('из города'!$AG$9=3,"Дол.",IF('из города'!$AG$9=1,"Руб.","Грн."))</f>
        <v>Грн.</v>
      </c>
      <c r="M102" s="664">
        <f>I102*K102</f>
        <v>1700</v>
      </c>
      <c r="N102" s="652" t="str">
        <f>IF('из города'!$AG$9=3,"Дол.",IF('из города'!$AG$9=1,"Руб.","Грн."))</f>
        <v>Грн.</v>
      </c>
      <c r="Q102" s="314"/>
      <c r="R102" s="174"/>
    </row>
    <row r="103" spans="1:18" ht="9" customHeight="1">
      <c r="B103" s="645"/>
      <c r="C103" s="646"/>
      <c r="D103" s="646"/>
      <c r="E103" s="646"/>
      <c r="F103" s="646"/>
      <c r="G103" s="646"/>
      <c r="H103" s="647"/>
      <c r="I103" s="863"/>
      <c r="J103" s="687"/>
      <c r="K103" s="668"/>
      <c r="L103" s="666"/>
      <c r="M103" s="664"/>
      <c r="N103" s="652"/>
      <c r="Q103" s="174"/>
      <c r="R103" s="174"/>
    </row>
    <row r="104" spans="1:18" ht="9" customHeight="1">
      <c r="B104" s="648"/>
      <c r="C104" s="649"/>
      <c r="D104" s="649"/>
      <c r="E104" s="649"/>
      <c r="F104" s="649"/>
      <c r="G104" s="649"/>
      <c r="H104" s="650"/>
      <c r="I104" s="864"/>
      <c r="J104" s="688"/>
      <c r="K104" s="689"/>
      <c r="L104" s="681"/>
      <c r="M104" s="682"/>
      <c r="N104" s="690"/>
      <c r="Q104" s="174"/>
      <c r="R104" s="174"/>
    </row>
    <row r="105" spans="1:18" ht="9" customHeight="1">
      <c r="B105" s="738" t="s">
        <v>2756</v>
      </c>
      <c r="C105" s="739"/>
      <c r="D105" s="739"/>
      <c r="E105" s="739"/>
      <c r="F105" s="739"/>
      <c r="G105" s="739"/>
      <c r="H105" s="842"/>
      <c r="I105" s="863">
        <v>17</v>
      </c>
      <c r="J105" s="687" t="s">
        <v>13</v>
      </c>
      <c r="K105" s="667">
        <v>50</v>
      </c>
      <c r="L105" s="665" t="str">
        <f>IF('из города'!$AG$9=3,"Дол.",IF('из города'!$AG$9=1,"Руб.","Грн."))</f>
        <v>Грн.</v>
      </c>
      <c r="M105" s="663">
        <f>I105*K105</f>
        <v>850</v>
      </c>
      <c r="N105" s="651" t="str">
        <f>IF('из города'!$AG$9=3,"Дол.",IF('из города'!$AG$9=1,"Руб.","Грн."))</f>
        <v>Грн.</v>
      </c>
    </row>
    <row r="106" spans="1:18" ht="9" customHeight="1">
      <c r="B106" s="740"/>
      <c r="C106" s="741"/>
      <c r="D106" s="741"/>
      <c r="E106" s="741"/>
      <c r="F106" s="741"/>
      <c r="G106" s="741"/>
      <c r="H106" s="843"/>
      <c r="I106" s="863"/>
      <c r="J106" s="687"/>
      <c r="K106" s="668"/>
      <c r="L106" s="666"/>
      <c r="M106" s="664"/>
      <c r="N106" s="652"/>
    </row>
    <row r="107" spans="1:18" ht="9" customHeight="1">
      <c r="B107" s="742"/>
      <c r="C107" s="743"/>
      <c r="D107" s="743"/>
      <c r="E107" s="743"/>
      <c r="F107" s="743"/>
      <c r="G107" s="743"/>
      <c r="H107" s="844"/>
      <c r="I107" s="864"/>
      <c r="J107" s="688"/>
      <c r="K107" s="689"/>
      <c r="L107" s="681"/>
      <c r="M107" s="682"/>
      <c r="N107" s="690"/>
    </row>
    <row r="108" spans="1:18" ht="9" customHeight="1">
      <c r="B108" s="677" t="s">
        <v>2669</v>
      </c>
      <c r="C108" s="643"/>
      <c r="D108" s="643"/>
      <c r="E108" s="643"/>
      <c r="F108" s="643"/>
      <c r="G108" s="643"/>
      <c r="H108" s="644"/>
      <c r="I108" s="863">
        <v>17</v>
      </c>
      <c r="J108" s="687" t="s">
        <v>13</v>
      </c>
      <c r="K108" s="667">
        <v>100</v>
      </c>
      <c r="L108" s="665" t="str">
        <f>IF('из города'!$AG$9=3,"Дол.",IF('из города'!$AG$9=1,"Руб.","Грн."))</f>
        <v>Грн.</v>
      </c>
      <c r="M108" s="663">
        <f>I108*K108</f>
        <v>1700</v>
      </c>
      <c r="N108" s="651" t="str">
        <f>IF('из города'!$AG$9=3,"Дол.",IF('из города'!$AG$9=1,"Руб.","Грн."))</f>
        <v>Грн.</v>
      </c>
    </row>
    <row r="109" spans="1:18" ht="9" customHeight="1">
      <c r="B109" s="645"/>
      <c r="C109" s="646"/>
      <c r="D109" s="646"/>
      <c r="E109" s="646"/>
      <c r="F109" s="646"/>
      <c r="G109" s="646"/>
      <c r="H109" s="647"/>
      <c r="I109" s="863"/>
      <c r="J109" s="687"/>
      <c r="K109" s="668"/>
      <c r="L109" s="666"/>
      <c r="M109" s="664"/>
      <c r="N109" s="652"/>
    </row>
    <row r="110" spans="1:18" ht="9" customHeight="1">
      <c r="B110" s="648"/>
      <c r="C110" s="649"/>
      <c r="D110" s="649"/>
      <c r="E110" s="649"/>
      <c r="F110" s="649"/>
      <c r="G110" s="649"/>
      <c r="H110" s="650"/>
      <c r="I110" s="864"/>
      <c r="J110" s="688"/>
      <c r="K110" s="689"/>
      <c r="L110" s="681"/>
      <c r="M110" s="682"/>
      <c r="N110" s="690"/>
    </row>
    <row r="111" spans="1:18" ht="9" customHeight="1">
      <c r="B111" s="677" t="s">
        <v>2751</v>
      </c>
      <c r="C111" s="643"/>
      <c r="D111" s="643"/>
      <c r="E111" s="643"/>
      <c r="F111" s="643"/>
      <c r="G111" s="643"/>
      <c r="H111" s="644"/>
      <c r="I111" s="863">
        <v>17</v>
      </c>
      <c r="J111" s="687" t="s">
        <v>13</v>
      </c>
      <c r="K111" s="667">
        <v>30</v>
      </c>
      <c r="L111" s="665" t="str">
        <f>IF('из города'!$AG$9=3,"Дол.",IF('из города'!$AG$9=1,"Руб.","Грн."))</f>
        <v>Грн.</v>
      </c>
      <c r="M111" s="663">
        <f>I111*K111</f>
        <v>510</v>
      </c>
      <c r="N111" s="651" t="str">
        <f>IF('из города'!$AG$9=3,"Дол.",IF('из города'!$AG$9=1,"Руб.","Грн."))</f>
        <v>Грн.</v>
      </c>
    </row>
    <row r="112" spans="1:18" ht="9" customHeight="1">
      <c r="B112" s="645"/>
      <c r="C112" s="646"/>
      <c r="D112" s="646"/>
      <c r="E112" s="646"/>
      <c r="F112" s="646"/>
      <c r="G112" s="646"/>
      <c r="H112" s="647"/>
      <c r="I112" s="863"/>
      <c r="J112" s="687"/>
      <c r="K112" s="668"/>
      <c r="L112" s="666"/>
      <c r="M112" s="664"/>
      <c r="N112" s="652"/>
    </row>
    <row r="113" spans="1:14" ht="9" customHeight="1">
      <c r="B113" s="648"/>
      <c r="C113" s="649"/>
      <c r="D113" s="649"/>
      <c r="E113" s="649"/>
      <c r="F113" s="649"/>
      <c r="G113" s="649"/>
      <c r="H113" s="650"/>
      <c r="I113" s="864"/>
      <c r="J113" s="688"/>
      <c r="K113" s="689"/>
      <c r="L113" s="681"/>
      <c r="M113" s="682"/>
      <c r="N113" s="690"/>
    </row>
    <row r="114" spans="1:14" ht="5.5" customHeight="1">
      <c r="B114" s="677" t="s">
        <v>2748</v>
      </c>
      <c r="C114" s="643"/>
      <c r="D114" s="643"/>
      <c r="E114" s="643"/>
      <c r="F114" s="643"/>
      <c r="G114" s="643"/>
      <c r="H114" s="644"/>
      <c r="I114" s="863">
        <v>17</v>
      </c>
      <c r="J114" s="687" t="s">
        <v>13</v>
      </c>
      <c r="K114" s="667">
        <v>10</v>
      </c>
      <c r="L114" s="665" t="str">
        <f>IF('из города'!$AG$9=3,"Дол.",IF('из города'!$AG$9=1,"Руб.","Грн."))</f>
        <v>Грн.</v>
      </c>
      <c r="M114" s="663">
        <f>I114*K114</f>
        <v>170</v>
      </c>
      <c r="N114" s="651" t="str">
        <f>IF('из города'!$AG$9=3,"Дол.",IF('из города'!$AG$9=1,"Руб.","Грн."))</f>
        <v>Грн.</v>
      </c>
    </row>
    <row r="115" spans="1:14" ht="9" customHeight="1">
      <c r="B115" s="645"/>
      <c r="C115" s="646"/>
      <c r="D115" s="646"/>
      <c r="E115" s="646"/>
      <c r="F115" s="646"/>
      <c r="G115" s="646"/>
      <c r="H115" s="647"/>
      <c r="I115" s="863"/>
      <c r="J115" s="687"/>
      <c r="K115" s="668"/>
      <c r="L115" s="666"/>
      <c r="M115" s="664"/>
      <c r="N115" s="652"/>
    </row>
    <row r="116" spans="1:14" ht="9" customHeight="1">
      <c r="B116" s="648"/>
      <c r="C116" s="649"/>
      <c r="D116" s="649"/>
      <c r="E116" s="649"/>
      <c r="F116" s="649"/>
      <c r="G116" s="649"/>
      <c r="H116" s="650"/>
      <c r="I116" s="864"/>
      <c r="J116" s="688"/>
      <c r="K116" s="689"/>
      <c r="L116" s="681"/>
      <c r="M116" s="682"/>
      <c r="N116" s="690"/>
    </row>
    <row r="117" spans="1:14" ht="9" customHeight="1">
      <c r="B117" s="677" t="s">
        <v>2672</v>
      </c>
      <c r="C117" s="643"/>
      <c r="D117" s="643"/>
      <c r="E117" s="643"/>
      <c r="F117" s="643"/>
      <c r="G117" s="643"/>
      <c r="H117" s="644"/>
      <c r="I117" s="863">
        <v>17</v>
      </c>
      <c r="J117" s="687" t="s">
        <v>13</v>
      </c>
      <c r="K117" s="667">
        <v>10</v>
      </c>
      <c r="L117" s="665" t="str">
        <f>IF('из города'!$AG$9=3,"Дол.",IF('из города'!$AG$9=1,"Руб.","Грн."))</f>
        <v>Грн.</v>
      </c>
      <c r="M117" s="663">
        <f>I117*K117</f>
        <v>170</v>
      </c>
      <c r="N117" s="651" t="str">
        <f>IF('из города'!$AG$9=3,"Дол.",IF('из города'!$AG$9=1,"Руб.","Грн."))</f>
        <v>Грн.</v>
      </c>
    </row>
    <row r="118" spans="1:14" ht="9" customHeight="1">
      <c r="B118" s="645"/>
      <c r="C118" s="646"/>
      <c r="D118" s="646"/>
      <c r="E118" s="646"/>
      <c r="F118" s="646"/>
      <c r="G118" s="646"/>
      <c r="H118" s="647"/>
      <c r="I118" s="863"/>
      <c r="J118" s="687"/>
      <c r="K118" s="668"/>
      <c r="L118" s="666"/>
      <c r="M118" s="664"/>
      <c r="N118" s="652"/>
    </row>
    <row r="119" spans="1:14" ht="9" customHeight="1">
      <c r="B119" s="648"/>
      <c r="C119" s="649"/>
      <c r="D119" s="649"/>
      <c r="E119" s="649"/>
      <c r="F119" s="649"/>
      <c r="G119" s="649"/>
      <c r="H119" s="650"/>
      <c r="I119" s="864"/>
      <c r="J119" s="688"/>
      <c r="K119" s="689"/>
      <c r="L119" s="681"/>
      <c r="M119" s="682"/>
      <c r="N119" s="690"/>
    </row>
    <row r="120" spans="1:14" ht="7.5" customHeight="1">
      <c r="B120" s="677" t="s">
        <v>2753</v>
      </c>
      <c r="C120" s="643"/>
      <c r="D120" s="643"/>
      <c r="E120" s="643"/>
      <c r="F120" s="643"/>
      <c r="G120" s="643"/>
      <c r="H120" s="644"/>
      <c r="I120" s="863">
        <v>17</v>
      </c>
      <c r="J120" s="687" t="s">
        <v>2726</v>
      </c>
      <c r="K120" s="667">
        <v>150</v>
      </c>
      <c r="L120" s="665" t="str">
        <f>IF('из города'!$AG$9=3,"Дол.",IF('из города'!$AG$9=1,"Руб.","Грн."))</f>
        <v>Грн.</v>
      </c>
      <c r="M120" s="663">
        <f>I120*K120</f>
        <v>2550</v>
      </c>
      <c r="N120" s="651" t="str">
        <f>IF('из города'!$AG$9=3,"Дол.",IF('из города'!$AG$9=1,"Руб.","Грн."))</f>
        <v>Грн.</v>
      </c>
    </row>
    <row r="121" spans="1:14" ht="7.5" customHeight="1">
      <c r="B121" s="645"/>
      <c r="C121" s="646"/>
      <c r="D121" s="646"/>
      <c r="E121" s="646"/>
      <c r="F121" s="646"/>
      <c r="G121" s="646"/>
      <c r="H121" s="647"/>
      <c r="I121" s="863"/>
      <c r="J121" s="687"/>
      <c r="K121" s="668"/>
      <c r="L121" s="666"/>
      <c r="M121" s="664"/>
      <c r="N121" s="652"/>
    </row>
    <row r="122" spans="1:14" ht="7.5" customHeight="1">
      <c r="B122" s="648"/>
      <c r="C122" s="649"/>
      <c r="D122" s="649"/>
      <c r="E122" s="649"/>
      <c r="F122" s="649"/>
      <c r="G122" s="649"/>
      <c r="H122" s="650"/>
      <c r="I122" s="864"/>
      <c r="J122" s="688"/>
      <c r="K122" s="689"/>
      <c r="L122" s="681"/>
      <c r="M122" s="682"/>
      <c r="N122" s="690"/>
    </row>
    <row r="123" spans="1:14" ht="7" customHeight="1">
      <c r="B123" s="677" t="s">
        <v>2758</v>
      </c>
      <c r="C123" s="643"/>
      <c r="D123" s="643"/>
      <c r="E123" s="643"/>
      <c r="F123" s="643"/>
      <c r="G123" s="643"/>
      <c r="H123" s="644"/>
      <c r="I123" s="863">
        <v>17</v>
      </c>
      <c r="J123" s="687" t="s">
        <v>13</v>
      </c>
      <c r="K123" s="667">
        <v>40</v>
      </c>
      <c r="L123" s="665" t="str">
        <f>IF('из города'!$AG$9=3,"Дол.",IF('из города'!$AG$9=1,"Руб.","Грн."))</f>
        <v>Грн.</v>
      </c>
      <c r="M123" s="663">
        <f>I123*K123</f>
        <v>680</v>
      </c>
      <c r="N123" s="651" t="str">
        <f>IF('из города'!$AG$9=3,"Дол.",IF('из города'!$AG$9=1,"Руб.","Грн."))</f>
        <v>Грн.</v>
      </c>
    </row>
    <row r="124" spans="1:14" ht="7" customHeight="1">
      <c r="B124" s="645"/>
      <c r="C124" s="646"/>
      <c r="D124" s="646"/>
      <c r="E124" s="646"/>
      <c r="F124" s="646"/>
      <c r="G124" s="646"/>
      <c r="H124" s="647"/>
      <c r="I124" s="863"/>
      <c r="J124" s="687"/>
      <c r="K124" s="668"/>
      <c r="L124" s="666"/>
      <c r="M124" s="664"/>
      <c r="N124" s="652"/>
    </row>
    <row r="125" spans="1:14" ht="7" customHeight="1">
      <c r="B125" s="648"/>
      <c r="C125" s="649"/>
      <c r="D125" s="649"/>
      <c r="E125" s="649"/>
      <c r="F125" s="649"/>
      <c r="G125" s="649"/>
      <c r="H125" s="650"/>
      <c r="I125" s="864"/>
      <c r="J125" s="688"/>
      <c r="K125" s="689"/>
      <c r="L125" s="681"/>
      <c r="M125" s="682"/>
      <c r="N125" s="690"/>
    </row>
    <row r="126" spans="1:14" ht="8" customHeight="1">
      <c r="A126" s="285" t="b">
        <v>0</v>
      </c>
      <c r="B126" s="749" t="s">
        <v>2723</v>
      </c>
      <c r="C126" s="750"/>
      <c r="D126" s="750"/>
      <c r="E126" s="750"/>
      <c r="F126" s="750"/>
      <c r="G126" s="750"/>
      <c r="H126" s="259"/>
      <c r="I126" s="259"/>
      <c r="J126" s="260"/>
      <c r="K126" s="845">
        <f>M126/P91</f>
        <v>0</v>
      </c>
      <c r="L126" s="759" t="s">
        <v>17</v>
      </c>
      <c r="M126" s="845">
        <f>IF(A126=TRUE,M102+M105+M108+M111+M114+M117+M120+M123,0)</f>
        <v>0</v>
      </c>
      <c r="N126" s="679" t="str">
        <f>IF('из города'!$AG$9=3,"Дол.",IF('из города'!$AG$9=1,"Руб.","Грн."))</f>
        <v>Грн.</v>
      </c>
    </row>
    <row r="127" spans="1:14" ht="8" customHeight="1">
      <c r="B127" s="751"/>
      <c r="C127" s="752"/>
      <c r="D127" s="752"/>
      <c r="E127" s="752"/>
      <c r="F127" s="752"/>
      <c r="G127" s="752"/>
      <c r="H127" s="259"/>
      <c r="I127" s="259"/>
      <c r="J127" s="704"/>
      <c r="K127" s="747"/>
      <c r="L127" s="704"/>
      <c r="M127" s="747"/>
      <c r="N127" s="679"/>
    </row>
    <row r="128" spans="1:14" ht="8" customHeight="1">
      <c r="B128" s="751"/>
      <c r="C128" s="752"/>
      <c r="D128" s="752"/>
      <c r="E128" s="752"/>
      <c r="F128" s="752"/>
      <c r="G128" s="752"/>
      <c r="H128" s="259"/>
      <c r="I128" s="259"/>
      <c r="J128" s="704"/>
      <c r="K128" s="747"/>
      <c r="L128" s="704"/>
      <c r="M128" s="747"/>
      <c r="N128" s="679"/>
    </row>
    <row r="129" spans="2:14" ht="8" customHeight="1" thickBot="1">
      <c r="B129" s="753"/>
      <c r="C129" s="754"/>
      <c r="D129" s="754"/>
      <c r="E129" s="754"/>
      <c r="F129" s="754"/>
      <c r="G129" s="754"/>
      <c r="H129" s="261"/>
      <c r="I129" s="261"/>
      <c r="J129" s="705"/>
      <c r="K129" s="748"/>
      <c r="L129" s="705"/>
      <c r="M129" s="748"/>
      <c r="N129" s="763"/>
    </row>
    <row r="130" spans="2:14" ht="15" thickTop="1"/>
  </sheetData>
  <sheetProtection password="C665" sheet="1" objects="1" scenarios="1" selectLockedCells="1"/>
  <mergeCells count="303">
    <mergeCell ref="B7:H9"/>
    <mergeCell ref="K1:L1"/>
    <mergeCell ref="B2:N3"/>
    <mergeCell ref="B4:H6"/>
    <mergeCell ref="I4:J6"/>
    <mergeCell ref="K4:L6"/>
    <mergeCell ref="M4:N6"/>
    <mergeCell ref="M7:M9"/>
    <mergeCell ref="N7:N9"/>
    <mergeCell ref="I7:I9"/>
    <mergeCell ref="J7:J9"/>
    <mergeCell ref="K7:K9"/>
    <mergeCell ref="L7:L9"/>
    <mergeCell ref="B10:H12"/>
    <mergeCell ref="I10:I12"/>
    <mergeCell ref="J10:J12"/>
    <mergeCell ref="K10:K12"/>
    <mergeCell ref="J13:J15"/>
    <mergeCell ref="K13:K15"/>
    <mergeCell ref="L13:L15"/>
    <mergeCell ref="P91:P93"/>
    <mergeCell ref="M10:M12"/>
    <mergeCell ref="M22:M24"/>
    <mergeCell ref="J25:J27"/>
    <mergeCell ref="K25:K27"/>
    <mergeCell ref="L25:L27"/>
    <mergeCell ref="L10:L12"/>
    <mergeCell ref="M25:M27"/>
    <mergeCell ref="M28:M30"/>
    <mergeCell ref="M31:M33"/>
    <mergeCell ref="N10:N12"/>
    <mergeCell ref="N22:N24"/>
    <mergeCell ref="N31:N33"/>
    <mergeCell ref="N37:N39"/>
    <mergeCell ref="N46:N48"/>
    <mergeCell ref="N52:N54"/>
    <mergeCell ref="N58:N60"/>
    <mergeCell ref="M19:M21"/>
    <mergeCell ref="N13:N15"/>
    <mergeCell ref="N16:N18"/>
    <mergeCell ref="M13:M15"/>
    <mergeCell ref="N19:N21"/>
    <mergeCell ref="B16:H18"/>
    <mergeCell ref="I16:I18"/>
    <mergeCell ref="J16:J18"/>
    <mergeCell ref="K16:K18"/>
    <mergeCell ref="L16:L18"/>
    <mergeCell ref="M16:M18"/>
    <mergeCell ref="B13:H15"/>
    <mergeCell ref="I13:I15"/>
    <mergeCell ref="B19:H21"/>
    <mergeCell ref="B28:H30"/>
    <mergeCell ref="I28:I30"/>
    <mergeCell ref="J28:J30"/>
    <mergeCell ref="K28:K30"/>
    <mergeCell ref="L28:L30"/>
    <mergeCell ref="B22:H24"/>
    <mergeCell ref="I22:I24"/>
    <mergeCell ref="J22:J24"/>
    <mergeCell ref="K22:K24"/>
    <mergeCell ref="L22:L24"/>
    <mergeCell ref="I19:I21"/>
    <mergeCell ref="J19:J21"/>
    <mergeCell ref="K19:K21"/>
    <mergeCell ref="L19:L21"/>
    <mergeCell ref="B34:H36"/>
    <mergeCell ref="I34:I36"/>
    <mergeCell ref="J34:J36"/>
    <mergeCell ref="K34:K36"/>
    <mergeCell ref="L34:L36"/>
    <mergeCell ref="N28:N30"/>
    <mergeCell ref="B25:H27"/>
    <mergeCell ref="I25:I27"/>
    <mergeCell ref="M34:M36"/>
    <mergeCell ref="N34:N36"/>
    <mergeCell ref="B31:H33"/>
    <mergeCell ref="I31:I33"/>
    <mergeCell ref="J31:J33"/>
    <mergeCell ref="K31:K33"/>
    <mergeCell ref="L31:L33"/>
    <mergeCell ref="N25:N27"/>
    <mergeCell ref="B40:H42"/>
    <mergeCell ref="I40:I42"/>
    <mergeCell ref="J40:J42"/>
    <mergeCell ref="K40:K42"/>
    <mergeCell ref="L40:L42"/>
    <mergeCell ref="M40:M42"/>
    <mergeCell ref="N40:N42"/>
    <mergeCell ref="B37:H39"/>
    <mergeCell ref="I37:I39"/>
    <mergeCell ref="J37:J39"/>
    <mergeCell ref="K37:K39"/>
    <mergeCell ref="L37:L39"/>
    <mergeCell ref="M37:M39"/>
    <mergeCell ref="B49:H51"/>
    <mergeCell ref="I49:I51"/>
    <mergeCell ref="J49:J51"/>
    <mergeCell ref="K49:K51"/>
    <mergeCell ref="L49:L51"/>
    <mergeCell ref="M49:M51"/>
    <mergeCell ref="N49:N51"/>
    <mergeCell ref="B46:H48"/>
    <mergeCell ref="I46:I48"/>
    <mergeCell ref="J46:J48"/>
    <mergeCell ref="K46:K48"/>
    <mergeCell ref="L46:L48"/>
    <mergeCell ref="M46:M48"/>
    <mergeCell ref="B55:H57"/>
    <mergeCell ref="I55:I57"/>
    <mergeCell ref="J55:J57"/>
    <mergeCell ref="K55:K57"/>
    <mergeCell ref="L55:L57"/>
    <mergeCell ref="M55:M57"/>
    <mergeCell ref="N55:N57"/>
    <mergeCell ref="B52:H54"/>
    <mergeCell ref="I52:I54"/>
    <mergeCell ref="J52:J54"/>
    <mergeCell ref="K52:K54"/>
    <mergeCell ref="L52:L54"/>
    <mergeCell ref="M52:M54"/>
    <mergeCell ref="B61:H63"/>
    <mergeCell ref="I61:I63"/>
    <mergeCell ref="J61:J63"/>
    <mergeCell ref="K61:K63"/>
    <mergeCell ref="L61:L63"/>
    <mergeCell ref="M61:M63"/>
    <mergeCell ref="N61:N63"/>
    <mergeCell ref="B58:H60"/>
    <mergeCell ref="I58:I60"/>
    <mergeCell ref="J58:J60"/>
    <mergeCell ref="K58:K60"/>
    <mergeCell ref="L58:L60"/>
    <mergeCell ref="M58:M60"/>
    <mergeCell ref="B66:H67"/>
    <mergeCell ref="I66:I67"/>
    <mergeCell ref="J66:J67"/>
    <mergeCell ref="K66:K67"/>
    <mergeCell ref="L66:L67"/>
    <mergeCell ref="M66:M67"/>
    <mergeCell ref="N66:N67"/>
    <mergeCell ref="B64:H65"/>
    <mergeCell ref="I64:I65"/>
    <mergeCell ref="J64:J65"/>
    <mergeCell ref="K64:K65"/>
    <mergeCell ref="L64:L65"/>
    <mergeCell ref="M64:M65"/>
    <mergeCell ref="N64:N65"/>
    <mergeCell ref="B70:H71"/>
    <mergeCell ref="I70:I71"/>
    <mergeCell ref="J70:J71"/>
    <mergeCell ref="K70:K71"/>
    <mergeCell ref="L70:L71"/>
    <mergeCell ref="M70:M71"/>
    <mergeCell ref="N70:N71"/>
    <mergeCell ref="B68:H69"/>
    <mergeCell ref="I68:I69"/>
    <mergeCell ref="J68:J69"/>
    <mergeCell ref="K68:K69"/>
    <mergeCell ref="L68:L69"/>
    <mergeCell ref="M68:M69"/>
    <mergeCell ref="N68:N69"/>
    <mergeCell ref="B74:H75"/>
    <mergeCell ref="I74:I75"/>
    <mergeCell ref="J74:J75"/>
    <mergeCell ref="K74:K75"/>
    <mergeCell ref="L74:L75"/>
    <mergeCell ref="M74:M75"/>
    <mergeCell ref="N74:N75"/>
    <mergeCell ref="B72:H73"/>
    <mergeCell ref="I72:I73"/>
    <mergeCell ref="J72:J73"/>
    <mergeCell ref="K72:K73"/>
    <mergeCell ref="L72:L73"/>
    <mergeCell ref="M72:M73"/>
    <mergeCell ref="N72:N73"/>
    <mergeCell ref="B78:H79"/>
    <mergeCell ref="I78:I79"/>
    <mergeCell ref="J78:J79"/>
    <mergeCell ref="K78:K79"/>
    <mergeCell ref="L78:L79"/>
    <mergeCell ref="M78:M79"/>
    <mergeCell ref="N78:N79"/>
    <mergeCell ref="B76:H77"/>
    <mergeCell ref="I76:I77"/>
    <mergeCell ref="J76:J77"/>
    <mergeCell ref="K76:K77"/>
    <mergeCell ref="L76:L77"/>
    <mergeCell ref="M76:M77"/>
    <mergeCell ref="N76:N77"/>
    <mergeCell ref="N80:N81"/>
    <mergeCell ref="B82:H83"/>
    <mergeCell ref="I82:I83"/>
    <mergeCell ref="J82:J83"/>
    <mergeCell ref="K82:K83"/>
    <mergeCell ref="L82:L83"/>
    <mergeCell ref="M82:M83"/>
    <mergeCell ref="N82:N83"/>
    <mergeCell ref="B80:H81"/>
    <mergeCell ref="I80:I81"/>
    <mergeCell ref="J80:J81"/>
    <mergeCell ref="K80:K81"/>
    <mergeCell ref="L80:L81"/>
    <mergeCell ref="M80:M81"/>
    <mergeCell ref="L86:L87"/>
    <mergeCell ref="M86:M87"/>
    <mergeCell ref="N86:N87"/>
    <mergeCell ref="B84:H85"/>
    <mergeCell ref="I84:I85"/>
    <mergeCell ref="J84:J85"/>
    <mergeCell ref="K84:K85"/>
    <mergeCell ref="L84:L85"/>
    <mergeCell ref="M84:M85"/>
    <mergeCell ref="B43:H45"/>
    <mergeCell ref="I43:I45"/>
    <mergeCell ref="J43:J45"/>
    <mergeCell ref="K43:K45"/>
    <mergeCell ref="L43:L45"/>
    <mergeCell ref="M43:M45"/>
    <mergeCell ref="N43:N45"/>
    <mergeCell ref="M90:M93"/>
    <mergeCell ref="N88:N89"/>
    <mergeCell ref="B90:G93"/>
    <mergeCell ref="L90:L93"/>
    <mergeCell ref="N90:N93"/>
    <mergeCell ref="K90:K93"/>
    <mergeCell ref="B88:H89"/>
    <mergeCell ref="I88:I89"/>
    <mergeCell ref="J88:J89"/>
    <mergeCell ref="K88:K89"/>
    <mergeCell ref="L88:L89"/>
    <mergeCell ref="M88:M89"/>
    <mergeCell ref="N84:N85"/>
    <mergeCell ref="B86:H87"/>
    <mergeCell ref="I86:I87"/>
    <mergeCell ref="J86:J87"/>
    <mergeCell ref="K86:K87"/>
    <mergeCell ref="B97:N98"/>
    <mergeCell ref="B99:H101"/>
    <mergeCell ref="I99:J101"/>
    <mergeCell ref="K99:L101"/>
    <mergeCell ref="M99:N101"/>
    <mergeCell ref="B102:H104"/>
    <mergeCell ref="I102:I104"/>
    <mergeCell ref="J102:J104"/>
    <mergeCell ref="K102:K104"/>
    <mergeCell ref="L102:L104"/>
    <mergeCell ref="M102:M104"/>
    <mergeCell ref="N102:N104"/>
    <mergeCell ref="B111:H113"/>
    <mergeCell ref="I111:I113"/>
    <mergeCell ref="J111:J113"/>
    <mergeCell ref="K111:K113"/>
    <mergeCell ref="L111:L113"/>
    <mergeCell ref="M111:M113"/>
    <mergeCell ref="N105:N107"/>
    <mergeCell ref="N108:N110"/>
    <mergeCell ref="B105:H107"/>
    <mergeCell ref="I105:I107"/>
    <mergeCell ref="J105:J107"/>
    <mergeCell ref="K105:K107"/>
    <mergeCell ref="L105:L107"/>
    <mergeCell ref="M105:M107"/>
    <mergeCell ref="N111:N113"/>
    <mergeCell ref="B108:H110"/>
    <mergeCell ref="I108:I110"/>
    <mergeCell ref="J108:J110"/>
    <mergeCell ref="K108:K110"/>
    <mergeCell ref="L108:L110"/>
    <mergeCell ref="M108:M110"/>
    <mergeCell ref="N114:N116"/>
    <mergeCell ref="B117:H119"/>
    <mergeCell ref="I117:I119"/>
    <mergeCell ref="J117:J119"/>
    <mergeCell ref="K117:K119"/>
    <mergeCell ref="L117:L119"/>
    <mergeCell ref="M117:M119"/>
    <mergeCell ref="N117:N119"/>
    <mergeCell ref="N120:N122"/>
    <mergeCell ref="B120:H122"/>
    <mergeCell ref="I120:I122"/>
    <mergeCell ref="B114:H116"/>
    <mergeCell ref="I114:I116"/>
    <mergeCell ref="J114:J116"/>
    <mergeCell ref="K114:K116"/>
    <mergeCell ref="L114:L116"/>
    <mergeCell ref="M114:M116"/>
    <mergeCell ref="J120:J122"/>
    <mergeCell ref="K120:K122"/>
    <mergeCell ref="L120:L122"/>
    <mergeCell ref="M120:M122"/>
    <mergeCell ref="B126:G129"/>
    <mergeCell ref="K126:K129"/>
    <mergeCell ref="L126:L129"/>
    <mergeCell ref="M126:M129"/>
    <mergeCell ref="N126:N129"/>
    <mergeCell ref="J127:J129"/>
    <mergeCell ref="B123:H125"/>
    <mergeCell ref="I123:I125"/>
    <mergeCell ref="J123:J125"/>
    <mergeCell ref="K123:K125"/>
    <mergeCell ref="L123:L125"/>
    <mergeCell ref="M123:M125"/>
    <mergeCell ref="N123:N125"/>
  </mergeCells>
  <hyperlinks>
    <hyperlink ref="E1" location="Купол!A1" display="Купол"/>
    <hyperlink ref="F1" location="козырёк!A1" display="Козырьки"/>
    <hyperlink ref="H1" location="'Стены 1'!A1" display="Стены 1"/>
    <hyperlink ref="I1" location="Перекрытие2!A1" display="Перекрытие 2"/>
    <hyperlink ref="J1" location="Стены2!A1" display="Стены 2"/>
    <hyperlink ref="K1" location="Башня!A1" display="Обзорная башня"/>
    <hyperlink ref="N1" location="Доставка!A1" display="Окна"/>
    <hyperlink ref="D1" location="'Смета фунд.'!A1" display="Смета фундамента"/>
    <hyperlink ref="M1" location="Окна!A1" display="Окна"/>
    <hyperlink ref="B1" location="Главная!A1" display="Главная"/>
    <hyperlink ref="G1" location="'Перекрытия 1'!A1" display="Перекр.1"/>
    <hyperlink ref="C1" location="'Район фунд.'!A1" display="Район фундамента"/>
  </hyperlink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27</vt:i4>
      </vt:variant>
    </vt:vector>
  </HeadingPairs>
  <TitlesOfParts>
    <vt:vector size="42" baseType="lpstr">
      <vt:lpstr>Ср.мес.Т</vt:lpstr>
      <vt:lpstr>Главная</vt:lpstr>
      <vt:lpstr>Район фунд.</vt:lpstr>
      <vt:lpstr>Лист2 (2)</vt:lpstr>
      <vt:lpstr>Смета фунд.</vt:lpstr>
      <vt:lpstr>Купол</vt:lpstr>
      <vt:lpstr>козырёк</vt:lpstr>
      <vt:lpstr>Перекрытия 1</vt:lpstr>
      <vt:lpstr>Перекрытие2</vt:lpstr>
      <vt:lpstr>Стены 1</vt:lpstr>
      <vt:lpstr>Стены2</vt:lpstr>
      <vt:lpstr>Башня</vt:lpstr>
      <vt:lpstr>Окна</vt:lpstr>
      <vt:lpstr>Доставка</vt:lpstr>
      <vt:lpstr>из города</vt:lpstr>
      <vt:lpstr>города</vt:lpstr>
      <vt:lpstr>города2</vt:lpstr>
      <vt:lpstr>грн</vt:lpstr>
      <vt:lpstr>Доставка!кг</vt:lpstr>
      <vt:lpstr>'из города'!кг</vt:lpstr>
      <vt:lpstr>Доставка!количество</vt:lpstr>
      <vt:lpstr>'из города'!количество</vt:lpstr>
      <vt:lpstr>комплект</vt:lpstr>
      <vt:lpstr>Доставка!комплект2</vt:lpstr>
      <vt:lpstr>'из города'!комплект2</vt:lpstr>
      <vt:lpstr>Доставка!комплекты</vt:lpstr>
      <vt:lpstr>'из города'!комплекты</vt:lpstr>
      <vt:lpstr>наличиемалогокупола</vt:lpstr>
      <vt:lpstr>'Район фунд.'!Область_печати</vt:lpstr>
      <vt:lpstr>руб</vt:lpstr>
      <vt:lpstr>стоимость</vt:lpstr>
      <vt:lpstr>стоимость_2</vt:lpstr>
      <vt:lpstr>стоимость_два</vt:lpstr>
      <vt:lpstr>стоимость_два2</vt:lpstr>
      <vt:lpstr>стоимость_пять</vt:lpstr>
      <vt:lpstr>стоимость_три</vt:lpstr>
      <vt:lpstr>стоимость_четыре</vt:lpstr>
      <vt:lpstr>стоимость_шесть</vt:lpstr>
      <vt:lpstr>стоимость_шесть2</vt:lpstr>
      <vt:lpstr>стоимость2</vt:lpstr>
      <vt:lpstr>хрень</vt:lpstr>
      <vt:lpstr>ящики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2018-06-19T01:59:07Z</dcterms:modified>
</cp:coreProperties>
</file>